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<sst xmlns="http://schemas.openxmlformats.org/spreadsheetml/2006/main" uniqueCount="3191">
  <si>
    <t>id</t>
  </si>
  <si>
    <t>created_at</t>
  </si>
  <si>
    <t>fav</t>
  </si>
  <si>
    <t>rt</t>
  </si>
  <si>
    <t>text</t>
  </si>
  <si>
    <t>media1</t>
  </si>
  <si>
    <t>media2</t>
  </si>
  <si>
    <t>media3</t>
  </si>
  <si>
    <t>media4</t>
  </si>
  <si>
    <t>compound</t>
  </si>
  <si>
    <t>neg</t>
  </si>
  <si>
    <t>neu</t>
  </si>
  <si>
    <t>pos</t>
  </si>
  <si>
    <t>DemocRATS still think WeThePeople are stupid
#RedTsunami 
#MAGA continues
#KAG2018</t>
  </si>
  <si>
    <t>RT @SaraCarterDC: It’s the other way around- Officials in the Obama administration utilized the tools of the intelligence community and law…</t>
  </si>
  <si>
    <t>RT @Lautergeist: Oh Lort.  Another one.  
#HereWeGoAgainWithTheLies
#Greitens #GreitensTrial 
She's claiming RAPE when there isn't a vict…</t>
  </si>
  <si>
    <t>RT @realDonaldTrump: .@AsaHutchinson, the great Governor of Arkansas, is in a primary tomorrow. He has done an incredible job with a focus…</t>
  </si>
  <si>
    <t>RT @DeplorableGoldn: RT 🚨
Shes conflicted period and needs to remove herself from the case 
Her public comments show she has already preju…</t>
  </si>
  <si>
    <t>@VisioDeiFromLA @tkinder @jeanpetersbaker @EricGreitens @Eric_Schmitt @ali @joelpollak @joel_capizzi @FitzpatrickMO @BillEigel @TeamGreitens @strmsptr @RealTravisCook @blackwidow07 @Neilin1Neil @SKOLBLUE1 @RightSideUp313 Another democRAT braindead feminist - trained by Claire McCaskill - the same as trained by Killary - how can we expect anything 'unbiased' from @jeanpetersbaker https://t.co/lsxrIe0fft</t>
  </si>
  <si>
    <t>RT @VisioDeiFromLA: @tkinder @jeanpetersbaker @EricGreitens Shes conflicted period and needs to remove herself from the case 
Her public c…</t>
  </si>
  <si>
    <t>RT @magathemaga1: The problem is the house lied. 
They can’t establish credibility as THEY NEVER EVEN CROSS EXAMINED THE WITNESS 
House t…</t>
  </si>
  <si>
    <t>RT @Lautergeist: Come on #MoLeg!  This is NOT what we hired you to do!  #ElectionsHaveConsequences
We were on to your shenanigans and hire…</t>
  </si>
  <si>
    <t>RT @MSTLGA: @Sticknstones4 @HotPokerPrinces So Far MEC Filings show these Legislators took 
Low Income Housing Tax Credit  $ #Moleg 
Todd…</t>
  </si>
  <si>
    <t>RT @MSTLGA: This is not a woman that was sexually assaulted !  This was a consensual affair
Brought to light by political operatives that c…</t>
  </si>
  <si>
    <t>RT @JW1057: @971FMTalk @MarcCox971 Summary: Kitty hates the @EricGreitens for not leaving Sheena and making her the first lady. 
#moleg #mo…</t>
  </si>
  <si>
    <t>RT @Str8DonLemon: KS ADMITS HER MEMORY ISN'T RELIABLE - AUDIO!
"...The Memory that I have isn't strong enough to testify to..."
👉No evide…</t>
  </si>
  <si>
    <t>@CJheartart @HawleyMO @AGJoshHawley lied to Missourians that he won the case for Hobby Lobby - nobody in the organization that led the law suit for Hobby Lobby knows about a Josh Hawley! Imagine that - the attorney general uses a lie to promote himself! Wished we had known in 2016 #JoshHawleyResign</t>
  </si>
  <si>
    <t>RT @CJheartart: Would someone @dbongino &amp;amp; Joseph diGenova @RadioFreeAllman &amp;amp; @seanhannity &amp;amp; @IngrahamAngle PLEASE look into the Missouri me…</t>
  </si>
  <si>
    <t>@EricGreitens Stay strong Governor Greitens, we have your back and we are the majority. We want you to say in the office and finish the mission for MO. Thank you.</t>
  </si>
  <si>
    <t>RT @EricGreitens: Great to see @jortego, who is visiting the Capitol today for the final week of session. Jack led our office in our weekly…</t>
  </si>
  <si>
    <t>RT @EricGreitens: An honor to be with families in Kingdom City to remember the service and sacrifice of fallen firefighters. https://t.co/4…</t>
  </si>
  <si>
    <t>RT @Sticknstones4: Has anybody Seen Scott Faughn Today ? 
#FelonFaughn #BagManScott #scammingScott 
#moleg #suboenaEvader https://t.co/zeO…</t>
  </si>
  <si>
    <t>RT @YearOfZero: Nobody cares what  KCSTARs opinion &amp;amp; you don’t get to decide if he keeps his job or not
Elections determine that
Anything…</t>
  </si>
  <si>
    <t>RT @HotPokerPrinces: Why are the Republicans protecting Scott Faughn ?
Bag Man drops off 70,000 in cash to Al Watkins &amp;amp; the House Committee…</t>
  </si>
  <si>
    <t>RT @YearOfZero: STERLING BANK
#moleg #mogov #greitens #missouri @Rep_TRichardson @BillEigel @Eric_Schmitt @EricGreitens 
#taxcredits http…</t>
  </si>
  <si>
    <t>RT @catdeeann: #IStandWithGreitens
#MoLeg
@EricGreitens 
@MOGOP_Chairman 
@MissouriGOP https://t.co/pPgtLzkzm2</t>
  </si>
  <si>
    <t>RT @88YahamaKeys: So now you are making up your own rules #MoLeg? https://t.co/9VpFLJ8eX2</t>
  </si>
  <si>
    <t>RT @88YahamaKeys: #Moleg What are you going to impeach the @GovGreitensMO for?  Do tell! Because charges were dropped and then this was iss…</t>
  </si>
  <si>
    <t>RT @philip_saulter: @ericgraves50 @EricGreitens @KOMUnews #Moleg seems to forget that Eric still has the support of many many Missourians.…</t>
  </si>
  <si>
    <t>RT @catdeeann: @CStamper_ #IStandWithGreitens I’m ashamed so many #MoLeg are throwing him under the bus! Many are term limited so they don’…</t>
  </si>
  <si>
    <t>RT @YearOfZero: I hear STERLING BANK is a great place to bank!
#MoLeg #MoGov #Greitens #Missouri #stlouis #MoSen https://t.co/7wkigEyvAC</t>
  </si>
  <si>
    <t>RT @YearOfZero: So is @scottfaughn and his guests  going to apologize for their anti semitism and insulting of Missouri voters?
Also where…</t>
  </si>
  <si>
    <t>RT @Lautergeist: Someone ( @ChrisHayesTV ) is DOING THE HARD WORK. 
We need NATIONAL RECOGNITION for what's really happening to @EricGreit…</t>
  </si>
  <si>
    <t>RT @HotPokerPrinces: When is #moleg going to bring in Scott Faughn and follow the Money 
The 120k cash.  Which LIHTC recipents Paid For the…</t>
  </si>
  <si>
    <t>RT @HotPokerPrinces: OH Really ?   She had No evidence !  Stop the impeachment 
  #kimshady #greitens #moleg #stl #missouri 
Former employ…</t>
  </si>
  <si>
    <t>RT @CStamper_: @ScottCharton @FBI And if you’re already calling the FBI, let them know about this (although I’ve heard they’re already inve…</t>
  </si>
  <si>
    <t>RT @CStamper_: These sham charges are disappearing left and right. It’s good to see that when push comes to shove and facts and evidence ar…</t>
  </si>
  <si>
    <t>RT @YearOfZero: Support Gov. Eric Greitens by signing and sharing these two petitions. 
(1) Oppose impeachment and/or censure.  
https://t…</t>
  </si>
  <si>
    <t>RT @JCunninghamMO: Why?  After two prosecutors dropped their cases for lack of evidence, moving forward by the legislature looks like a per…</t>
  </si>
  <si>
    <t>RT @RealTravisCook: Dear #MoLeg:  We elected Governor #Greitens.  We are pleased with his performance thus far.  We also elected you.  This…</t>
  </si>
  <si>
    <t>RT @magathemaga1: It’s called DISCUSSION
Did you just sign up for the internet ? 
#MoLeg engaging in a COUP on #Greitens &amp;amp; we can back up…</t>
  </si>
  <si>
    <t>RT @magathemaga1: Good afternoon #MoLeg 
I still hear that THE COUP on Missouri Voters is on and that Scott Faughn still has not told us w…</t>
  </si>
  <si>
    <t>RT @magathemaga1: The West County Bag Man is pushing the COUP propaganda hard today 
#moleg #mogov #Greitens https://t.co/FyPHDUDhok</t>
  </si>
  <si>
    <t>RT @magathemaga1: Also, I made a typo @johncombest 
They also aren’t allowing @EricGreitens to allow any witness to testify on his behalf…</t>
  </si>
  <si>
    <t>RT @magathemaga1: We ain’t letting the issue go #MoLeg 
@MattStoneABC 
#mogov #greitens #missouri #stl https://t.co/Y8lUiy5suO</t>
  </si>
  <si>
    <t>RT @CStamper_: This flies directly in the face of the “Greitens needs to go because he’s a distraction and is preventing work from being do…</t>
  </si>
  <si>
    <t>RT @KCNewsGuy: Missouri Gov. Eric Greitens released this statement tonight following the end of the 2018 legislative session. #moleg #mogov…</t>
  </si>
  <si>
    <t>RT @mizzoudownunder: The ninth circle of hell in Dante’s Inferno, specially round four, was the closest to Satan. 
It contained Judas Isca…</t>
  </si>
  <si>
    <t>#Moleg hired several attorneys for themselves @AGJoshHawley - you find that legal? https://t.co/95SvjPVs09</t>
  </si>
  <si>
    <t>@AGJoshHawley #Resign for misleading Missouri https://t.co/95SvjPVs09</t>
  </si>
  <si>
    <t>RT @ResignNowKim: @ScottCharton @EricGreitens Did you quit the AP, or were you fired for being as stupid as you are slovenly? By definition…</t>
  </si>
  <si>
    <t>RT @ResignNowKim: (1) RE: #SpecialSession : Every single #moleg needs to disclose all monies received from any tax credit queen donor.  Inc…</t>
  </si>
  <si>
    <t>@AlishaShurr Check out Kim Gardner's $120.000 to useless non-MO accredited   investigators/consultants instead of using local detectives plus court cost for a failed corrupt case
That if you are a real reporter.
Guess you are not like your felon-boss @scottfaughn</t>
  </si>
  <si>
    <t>RT @tkinder: Hawley should have offered his counsel to #Moleg in private. Instead, as political posturing, Hawley publicity stated Governor…</t>
  </si>
  <si>
    <t>RT @Hope4Hopeless1: ☆ALERT: AUG 7th☆
Is a VERY IMPORTANT US Senate PRIMARY IN #MISSOURI 
PLEASE VOTE .@SykesforSenate #MOSEN &amp;amp; send this…</t>
  </si>
  <si>
    <t>RT @CStamper_: This convicted felon who hand delivered $50,000 to a lawyer involved in Soros-backed Kim Gardner’s witch hunt has been evadi…</t>
  </si>
  <si>
    <t>RT @Str8DonLemon: BAG MAN STILL RUNNING
Where is Faughn?
Who gave him the money?
Brunner denies. So who did?
Missing piece is who gave…</t>
  </si>
  <si>
    <t>RT @Str8DonLemon: INNOCENT MAN FIGHTS BACK
#Missouri Coup is on!
Are U against:
✔Witch Hunts?
✔Prosecutorial Misconduct?
✔Undoing electi…</t>
  </si>
  <si>
    <t>RT @PeningtonShawn: @sandy45_46 @letters4trump45 Oh. She took her makeup off.</t>
  </si>
  <si>
    <t>RT @M_Martian_69: @sandy45_46 @NancyPelosi should invite the MS13 leader for dinner! 
#Way2Go #QueenCryBabyDem #Dingbat #BlueIsDoomed 
#Blh…</t>
  </si>
  <si>
    <t>RT @sandy45_46: OMG. It's MS-Pelosi mama of MS-13 https://t.co/4reKHbdLYX</t>
  </si>
  <si>
    <t>RT @ResignNowKim: @Norasmith1000 @magathemaga1 @EricGreitens @Rep_TRichardson @Eric_Schmitt @SKOLBLUE1 @Avenge_mypeople @Neilin1Neil @jrose…</t>
  </si>
  <si>
    <t>RT @CStamper_: At a housing project in Cape Girardeau “per apartment unit, (taxpayers paid) $376,000.” Per unit! Governor Greitens put a st…</t>
  </si>
  <si>
    <t>RT @magathemaga1: Good morning #MoLeg 
Where is the West Butler County Bag Man?
And what does Sterling Bank have to do we this whole #Gre…</t>
  </si>
  <si>
    <t>RT @Sticknstones4: I can’t even imagine 😢🙏🏻
I pray this man live a long &amp;amp; joyous life 
May he live to the fullest what he had been cheated…</t>
  </si>
  <si>
    <t>RT @SykesforSenate: Proud to be the only senate candidate at the St. Louis courthouse last Wednesday in support of @EricGreitens before the…</t>
  </si>
  <si>
    <t>RT @VisioDeiFromLA: What about Kim gardner indicting without evidence, lying to a grand jury, and then keeping the clown show going at the…</t>
  </si>
  <si>
    <t>@Sticknstones4 And the more #CrookedMoLeg screams the more we are exposing their crimes - keep going #MOSen and bring your house down</t>
  </si>
  <si>
    <t>RT @bridgetp1961: @Sticknstones4 I can't wait to see this list.  Didn't I read Mike Parsons, Jay Barnes, and Kim Gardner all received Pac f…</t>
  </si>
  <si>
    <t>RT @BluesFan464: @lindsaywise @BryanLowry3 What you call "interesting" most of us call a witch hunt. Maybe @georgesoros will bankroll Baker…</t>
  </si>
  <si>
    <t>RT @magathemaga1: Good afternoon 2 everybody but @scottfaughn 
Where U at bro? Going over public MEC disclosures... 
What's common theme?…</t>
  </si>
  <si>
    <t>RT @CStamper_: “When we mix politics into the administration of the law, we violate our country’s oldest and most sacred traditions.” Well…</t>
  </si>
  <si>
    <t>RT @CStamper_: Soros-backed prosecutor Kim Gardner’s handling of this case was so unethical and corrupt that a judge has ordered her and he…</t>
  </si>
  <si>
    <t>RT @magathemaga1: @Avenge_mypeople @grcfay @EricGreitens #moleg #greitens #mogov
The woman already prejudged the case!
hope @TeamGreitens…</t>
  </si>
  <si>
    <t>RT @VisioDeiFromLA: You mean how somebody bribed the accusers?
You do know they were paid large sums of money?
Why is nobody asking Phil…</t>
  </si>
  <si>
    <t>RT @VisioDeiFromLA: Isn’t it funny the first time CNN (Which is fake news) tweets on #MoLeg they don’t talk about bribes yet they don’t eve…</t>
  </si>
  <si>
    <t>@rebeccagberg #CNNIsTerrorism and that worldwide. The only followers that you have are your braindead snowflakes</t>
  </si>
  <si>
    <t>RT @YearOfZero: THERE IS NO EVIDENCE 
They have none. 
They indicted without evidence. The fundamental facts of the case aren’t changing.…</t>
  </si>
  <si>
    <t>RT @JW1057: @jeanpetersbaker is ethically comprised by accepting this appointment. She has already determined that there is a "victim" and…</t>
  </si>
  <si>
    <t>Missouri Crime Scene https://t.co/D6dkZTZkbv</t>
  </si>
  <si>
    <t>RT @JW1057: @rebeccagberg I think they are confused it is anti-Greitens forces that are bribing people. See Al Watkins, Scott Faughn, and P…</t>
  </si>
  <si>
    <t>Just appointed and immediately judging without prove - that's what you call another biased disqualified prosecutor  - @jeanpetersbaker as shady as @kimgardner77th @stlcao https://t.co/iKnfXc9UAf</t>
  </si>
  <si>
    <t>RT @Str8DonLemon: Shes playing politics. She didnt care when #KimShady was wasting money but now shes all concerned.
What a fraud 
#moleg…</t>
  </si>
  <si>
    <t>RT @Avenge_mypeople: Trying to find out who financed this filthy coup in Missouri. Cursory overview of possibilities below. Oh what a tangl…</t>
  </si>
  <si>
    <t>RT @i_like_sykes: @magathemaga1 @TheBluesMan361 @ResignNowKim @HawleyMO @smart_hillbilly Guilty until proven innocent seems to be the new n…</t>
  </si>
  <si>
    <t>@JW1057 @lindsaywise @KCStar @jeanpetersbaker @Rep_TRichardson @StLCountyRepub #JeanPetersBakerResign you are already partial = DISQUALIFIED</t>
  </si>
  <si>
    <t>RT @JW1057: @lindsaywise @KCStar Yes, please tell us about @jeanpetersbaker lack of ethics. @Rep_TRichardson @StLCountyRepub 
https://t.co…</t>
  </si>
  <si>
    <t>@jeanpetersbaker If you weren't so biased you would admit there is NO EVIDENCE OF A PHOTO, unless you manufacture one. In that case, Governor Greitens is the victim and should be protected like #KatrinaKittyAnnSneed and her cheating 2x ex husband #PhillipTailorSneed
#JeanPetersBakerIsDisqualified https://t.co/3cPBm9OHO2</t>
  </si>
  <si>
    <t>RT @ResignNowKim: @Avenge_mypeople That’s clear evidence of bias. How in the world can she possibly survive a defense motion for new prosec…</t>
  </si>
  <si>
    <t>RT @Str8DonLemon: #GREITENS CASE SP PREJUDGED CASE, MUST RECUSE!
Fact. She presumed guilt of @EricGreitens by calling accuser a "vicitm".…</t>
  </si>
  <si>
    <t>RT @JW1057: @jeanpetersbaker This is Katrina "Kitty" Sneed with her clothes on. I would show you a picture with her clothes off, but it doe…</t>
  </si>
  <si>
    <t>RT @ResignNowKim: @KMOV #BULLSHIT Name the damn legislators! Who were they?! WHAT DO YOU WANT TO BET ITS @jaybarnes5 AND @mikekehoe !!??!?…</t>
  </si>
  <si>
    <t>@ResignNowKim @VisioDeiFromLA @jrosenbaum @EricGreitens @ali @Neilin1Neil @CStamper_ @JohnLamping @jeanpetersbaker Sounds like @jeanpetersbaker is pushing it to match the crooked corrupt #moleg. If she was any good it would take time to thoroughly review the junk of @kimgardner77th</t>
  </si>
  <si>
    <t>@JW1057 @ksdknews @staceynewman @stlcao @kimgardner77th @ksdknews don't forget to include in your report the crooked #moleg that are cheating also you on you taxmoney #Fraud https://t.co/lXqRu4ItjJ</t>
  </si>
  <si>
    <t>@JW1057 @ksdknews Oh, and BTW @ksdknews here is the rest of the story of conspiracy by democRAT @staceynewman #MoHouse Rep @stlcao @kimgardner77th and #KittySneed to 'bring down the Governor' https://t.co/WViONdVtOh</t>
  </si>
  <si>
    <t>@JW1057 @ksdknews In case @ksdknews forgets to unveil #KatrinaKittyAnnSneed's face, here it is, with her 2x ex cheating husband #PhillipTaylorMoonSneed https://t.co/haWr1ikgqj</t>
  </si>
  <si>
    <t>@JW1057 @magathemaga1 @EricGreitens Sounds like parallel to Stormy Daniels hoax</t>
  </si>
  <si>
    <t>@VisioDeiFromLA She can't wipe off the fact of prosecutorial malfeasance by Kim Gardner.</t>
  </si>
  <si>
    <t>RT @VisioDeiFromLA: No. She didn’t dream it up. She just kept seeing the man and nude FaceTimed with greitens after. We ain’t stupid. This…</t>
  </si>
  <si>
    <t>RT @JW1057: @jdianeadams I think she forgot the word ALLEGED "criminal wrongdoing." That agains reflect bias on Baker's part. @jeanpetersba…</t>
  </si>
  <si>
    <t>@Str8DonLemon @Mikelkehoe @mikeparson @Eric_Schmitt @MattStoneABC @blackwidow07 @Neilin1Neil @dbongino @DRUDGE @BillEigel @JCPenknife @Avenge_mypeople @RealTravisCook @philip_saulter @Lautergeist @smart_hillbilly @LarrySchweikart @RepEngler Kehoe is supposedly a very bad bad guy in the capitol!</t>
  </si>
  <si>
    <t>@HotPokerPrinces @ResignNowKim @JW1057 @CStamper_ @Sticknstones4 @Avenge_mypeople @YearOfZero @Neilin1Neil @Hope4Hopeless1 @thesearcher998  @tkinder @Str8DonLemon  @magathemaga1 @strmsptr @SKOLBLUE1 @philip_saulter @RealTravisCook @VisioDeiFromLA @RightSideUp313 @SorosInSTL</t>
  </si>
  <si>
    <t>Particular this bitch democRAT needs tarred and feathered https://t.co/D8mcODdO0J</t>
  </si>
  <si>
    <t>WE MUST keep pounding and exposing them and ultimately have them also indicted for their corruption and abuse of power. 
MISSOURI CRIME SCENE
Revealing article about the witch hunt against Gov. Greitens and the corrupt MO Senate
https://t.co/XvolVeZUkb</t>
  </si>
  <si>
    <t>#Moleg ‘s Moral Turpitude - while taxpayers are getting screwed!
They are fully aware of the majority of Missourians demanding to stop their scheming but they think they are immune. https://t.co/2SGoOR3kXE</t>
  </si>
  <si>
    <t>With alcohol on his breath Nonnemaker schemed how ‘they R trying 2find Scott Faughn’ ‘finding the sources 4the $50K bribe’ or ‘investigating Kim Gardner’. Another staffer w alcohol on his breath came out to ‘rescue Nonnemaker’ against the pesky Springfieldians to run us out. https://t.co/fCvWO5hUi3</t>
  </si>
  <si>
    <t>We tried visiting with Tod Richardson after the Assembly was finished. Only his propaganda mngr Ryan Nonnemaker came out while the rest kept partying behind closed doors. If it had been a group of ~20/30 ppl we could’ve prob. lured Todd out of his hiding. https://t.co/JDi5JVyPXc</t>
  </si>
  <si>
    <t>.. RIG OUR ELECTION SYSTEM  = ELECTION FRAUD! This #TaxCreditMob does not care about if this is wrong as long as they get their golden goose back, even if they have to make up crimes! https://t.co/cvXBvXnUrP</t>
  </si>
  <si>
    <t>House Reps are predicting these vicious crooks wont stop the Coup d'état. These Slimy, arrogant swamp creatures are now going on a deep dive to MAKE UP CLAIMS that they will MAKE UP RULES FOR. They have 30 days! A lot of time to create and twist and use for their purpose to https://t.co/BHjujJMLsm</t>
  </si>
  <si>
    <t>After the Cole Cty prosecutor turned down Hawley's donor list charges Friday afternoon, Richardson's special ‘impeachment hearing’ was converted into 5 min. 'special' voting to accept Senate HR 1 for the newly scheduled ‘fact finding sessions’ starting Tuesday 11 am.</t>
  </si>
  <si>
    <t>Mike Kehoe &amp;amp; Jay Barnes have a nasty reputation among #MoLeg - arrogant ruthless careless bullies!
Slimy Todd Richardson pulled off an emotional show on the Assembly floor when he took a literally ‘crying’ fair well from his staff on Friday at his ‘first desk on the house floor’ https://t.co/HW8SnPlaME</t>
  </si>
  <si>
    <t>RT @HotPokerPrinces: Why does Jay Barnes &amp;amp; Todd Richardson spend so much money on Fake new subscriptions by a supoena evader ?
#Missouricr…</t>
  </si>
  <si>
    <t>RT @magathemaga1: I may only be a West DC Fake Deputy AG, but I DO KNOW based on public info, Scott Faughn &amp;amp; Stacey Newman are 2 of the big…</t>
  </si>
  <si>
    <t>RT @TheNewRight: Geeezzee Loueeeeze..
Somebody is having a bad day. 
Gettin’ mentioned in some pretty troublesome tweets..
Gettin’ twist…</t>
  </si>
  <si>
    <t>RT @88YahamaKeys: @Beatlebaby64  😂😂😂 https://t.co/46zMx4vaHY</t>
  </si>
  <si>
    <t>@Str8DonLemon @JohnLamping @EricGreitens @melody_grover @BigJShoota @Cernovich @NameRedacted7 @tracybeanz @Thomas1774Paine @ThomasWictor @DrPolitics1 @Avenge_mypeople @blackwidow07 @RealTravisCook @Lautergeist @smart_hillbilly @LarrySchweikart @Eric_Schmitt @HotPokerPrinces @grcfay @RobVescovo @MariaChappelleN has nothing to lose, she is burning to fry the crooked arrogant corrupt lying cheating drunken fake #MoLegislators
Todd Richardson @Rep_TRichardson
Jay Barnes @jaybarnes5
Jeanie Lauer @jeanielauer
Kevin Austin @KevinLAustin1
Shawn Rhoads @shawnrhoads154</t>
  </si>
  <si>
    <t>RT @CStamper_: “Missouri Republicans understood that Gardner, a Soros-funded Democrat, was less interested in justice than in political rev…</t>
  </si>
  <si>
    <t>RT @Str8DonLemon: Also what did @mariachapelleN mean by this tweet??
#moleg #mogov #greitens #missouri #stl #lihtc #taxcredits 
@JohnLamp…</t>
  </si>
  <si>
    <t>RT @Str8DonLemon: What deal did @Mikelkehoe cut with @mikeparson to enable this coup in #Greitens 
Also LIHTC ????
Somebody should be fol…</t>
  </si>
  <si>
    <t>RT @MSTLGA: Mike Parsons works for Lobbyists , Not for People 
He’s a Good Ole Do Boy
He will Do the will of the Lobbyists &amp;amp; Speical Intere…</t>
  </si>
  <si>
    <t>🔥 @AGJoshHawley why are you not investigating democRAT House rep @staceynewman?
🔥why aren't you investigating Kitty Sneed's cell phone forensics that prove the coercion by @staceynewman to #KatrinaAnnSneed and @stlcao @kimgardner77th to go after #Greitens to bring him down⁉️ https://t.co/PSUPXMAd6X</t>
  </si>
  <si>
    <t>RT @MSTLGA: $.58 of every LIHTC was squandered away for decades.  Scamming taxpayers out 1.5 Billion Dollars.  Greitens stopped the scam&amp;amp; s…</t>
  </si>
  <si>
    <t>RT @magathemaga1: @TeamGreitens #moleg #mogov #Greitens 
Where you at @scottfaughn 
Who gave you the money? https://t.co/KWrLouBgdj</t>
  </si>
  <si>
    <t>RT @TeamGreitens: We hear Memphis is lovely this time of the year. https://t.co/YNsAHM59h9</t>
  </si>
  <si>
    <t>@CStamper_ @paulcurtman @paulcurtman filed a a complaint with the MO bar association against #KimShady for #ProsecutorialMisconduct to have her disbarred! 
Kudos to @paulcurtman, also running for MO State Auditor, and a good one he will be.</t>
  </si>
  <si>
    <t>@smart_hillbilly @ericgraves50 @EricGreitens @KOMUnews That is exactly correct statement! And #MoLeg knows that, that's why they are working hard to hide how they are corrupting the system. They are a #MOMafia</t>
  </si>
  <si>
    <t>RT @ericgraves50: Governor @EricGreitens has now taken the podium to address the crowd. He was welcomed with a standing ovation. @KOMUnews…</t>
  </si>
  <si>
    <t>🔥EXPOSE LYING POS @AGJoshHawley
He lied to Missourians about HIS Hobby Lobby win!
🔥NOBODY OF THE ORG. THAT FOUGHT FOR HOBBY LOBBY UNDER THE CONSTITUTION KNOWS OF #JoshHawley
🔥#HeeHaaww was NEVER involved in that case 
🔥#JoshHawleyRESIGN https://t.co/HS5WhPwTyV</t>
  </si>
  <si>
    <t>RT @Sticknstones4: This is Why They want to impeach Governor Greitens.
Tax Credit Millionaires think they run Missouri 
They took 1.3 Billi…</t>
  </si>
  <si>
    <t>100% AGREE! https://t.co/Hwoln5fAfL</t>
  </si>
  <si>
    <t>@jaybarnes5  is know in the senate and in the house as ARROGANT ASSHOLE https://t.co/T6DhTHjNJI</t>
  </si>
  <si>
    <t>RT @SykesforSenate: Great news for #Missouri! #MOSen #MAGA https://t.co/DrFxc3BVtF</t>
  </si>
  <si>
    <t>RT @SheenaGreitens: Last week, two bills passed the MO General Assembly that are great news for kids in foster care &amp;amp; for foster care &amp;amp; ado…</t>
  </si>
  <si>
    <t>RT @CStamper_: “[L]awmakers say they are hearing from constituents skeptical of the process after a whirlwind felony invasion of privacy ca…</t>
  </si>
  <si>
    <t>RT @magathemaga1: So he is still on the run?
MEME TIME
YO @scottfaughn 
I've been combing over PUBLIC MEC FORMS... yeah, yeah, campaign…</t>
  </si>
  <si>
    <t>RT @HotPokerPrinces: Oppose HR2, Allow #Greitens a fair defense &amp;amp; Due Process ! 
Please sign 
Todd Richardson: Missouri Representatives Opp…</t>
  </si>
  <si>
    <t>RT @JW1057: Support Gov. Eric Greitens by signing and sharing petition opposing impeachment and/or censure.  
https://t.co/zo2PsYxQ38
 #Bi…</t>
  </si>
  <si>
    <t>@CStamper_ @ws_missouri</t>
  </si>
  <si>
    <t>@CStamper_ The Springfield Newsleader is a lying lefties toilet paper rag, also know in Springfield as the 'Mis-leader' and avoided by many business owners.</t>
  </si>
  <si>
    <t>RT @CStamper_: The witch hunt against Missouri’s conservative Governor is scraping the bottom of the barrel. Now they’re looking for minor…</t>
  </si>
  <si>
    <t>RT @TheresaStrackk: @CStamper_ Hey SWAMP RAT wannabes LEAVE Governor  ALONE and crawl back in the sewer where you belong!  We love you Gove…</t>
  </si>
  <si>
    <t>@RandallMathew @BSepStl @CStamper_ Nail on the head! Let's move!</t>
  </si>
  <si>
    <t>RT @ResignNowKim: A poem for Scott: “Fee Fie Foh @scottfaughn , I smell the stench of a hillbilly pawn. From law he can hide; pretend his c…</t>
  </si>
  <si>
    <t>RT @ResignNowKim: @pinktastic615 We apparently don’t just read Kafka, compadre, we live it. Life has begun to imitate the absurd. Shit like…</t>
  </si>
  <si>
    <t>RT @ResignNowKim: @Str8DonLemon Hey Hafner! Don’t worry, your role in this will be uncovered.  Your boyfriend @RGreggKeller too. #moleg #mo…</t>
  </si>
  <si>
    <t>RT @Str8DonLemon: Except if U follow the money, it literally is the LIHTC men. Wonder how many people have their hands connected to these p…</t>
  </si>
  <si>
    <t>@ResignNowKim @tonymess @mikeparson @Mikelkehoe @EricGreitens @Avenge_mypeople @EdBigCon @SKOLBLUE1 @Norasmith1000 @HennessySTL @YearOfZero @ChrisHayesTV @RealTravisCook @kmoxnews Please publish anything you have on Senator Mike Parson so we can hammer that out to Missourians, same as on Mike Kehoe.</t>
  </si>
  <si>
    <t>RT @ResignNowKim: @jmannies @stlpublicradio @HafnerMO (3) Hafner and @RGreggKeller both worked for Brunner. Both continue to support shithe…</t>
  </si>
  <si>
    <t>RT @ResignNowKim: @jmannies @stlpublicradio @HafnerMO (2) you’re smart, Jo. So I’m sure you have. Question is: why don’t you report on that…</t>
  </si>
  <si>
    <t>RT @ResignNowKim: @MSTLGA Hey @jmannies : for example: have you looked into this #bullshit?  You ever thought, “Gee, maybe losing out on $1…</t>
  </si>
  <si>
    <t>RT @ResignNowKim: (6) despite all of this, #tonymess , I pity you, bc @gilbertbailon forces you, daily, to polish his cowboy boots (size 6…</t>
  </si>
  <si>
    <t>RT @ResignNowKim: (5) @tonymess : you also #Fail ed to investigate the obvious strategic coordination of @HawleyMO with @jaybarnes5 &amp;amp; @rep_…</t>
  </si>
  <si>
    <t>RT @ResignNowKim: (4) I also didn’t like your article, @tonymess bc you assumed @EricGreitens deserved to be impeached. You have no cause.…</t>
  </si>
  <si>
    <t>RT @ResignNowKim: (3) ... from the ex husband, and began working in conjunction with @stlcao to instigate that scandal. Separately, someone…</t>
  </si>
  <si>
    <t>RT @ResignNowKim: (2) @tonymess - there are clearly two primary factions of people that operated to force the impeachment issue. 1) #PhotoG…</t>
  </si>
  <si>
    <t>RT @ResignNowKim: @tonymess : Tony, your recent article https://t.co/WEeMc75Vrl  missed the mark. We don’t think Brunner is behind the phot…</t>
  </si>
  <si>
    <t>RT @ResignNowKim: @tonymess - also: how have you not covered the deal between @mikeparson and @Mikelkehoe ? Larson told Kehoe the latter wo…</t>
  </si>
  <si>
    <t>RT @SecPompeo: As I said at @Heritage: #Iran must be denied a nuclear weapon &amp;amp; ballistic missiles. Its aggression must be stopped. #IRGC's…</t>
  </si>
  <si>
    <t>RT @mitchellvii: Anyone really believe this Trump tweetstorm attack on #DeepState is just something Trump thought yesterday morning when he…</t>
  </si>
  <si>
    <t>RT @chuckwoolery: Freedom Caucus Chair Mark Meadows Demands Documents From Rosenstein: ‘The DOJ Can’t Be Trusted to Investigate Themselves…</t>
  </si>
  <si>
    <t>RT @TomFitton: When it came to illicitly spying and targeting @RealDonaldTrump, it was "all hands on deck" for the Obama administration. ht…</t>
  </si>
  <si>
    <t>RT @President1Trump: Clapper is scared s**tless! https://t.co/AtxsTySvKo</t>
  </si>
  <si>
    <t>RT @RepMattGaetz: TODAY: Tune in to my Medical Cannabis Research Reform Field Hearing starting at 1:30pm/12:30pm CT. Live-stream can be fou…</t>
  </si>
  <si>
    <t>RT @mflynnJR: Not ironic the Deep State and those on the left are screaming louder and louder as this IG report looms.....almost as if they…</t>
  </si>
  <si>
    <t>RT @SebGorka: The tables are turning in @realDonaldTrump’s favor. 
On @SiriusXMPatriot now with @mboyle1 
8amET
(credit: Jimmy). https://t…</t>
  </si>
  <si>
    <t>RT @mike_Zollo: The Beacon School in NYC held a moment of silence to pay tribute to the 60 Palestinians killed at the Israel-Gaza border. A…</t>
  </si>
  <si>
    <t>RT @KokeReport: .@dbongino: “John Brennan has disgraced himself, he’s disgraced the country, he’s disgraced the intelligence community.” ht…</t>
  </si>
  <si>
    <t>RT @SecPompeo: .@POTUS withdrew from #JCPOA for a simple reason: it failed to guarantee the safety of the American people from the risks cr…</t>
  </si>
  <si>
    <t>RT @RealTrumpLady: ✨MISSION ACCOMPLISHED GUYS💪
I BROKE HER!! 🇺🇸💕
Kathy Griffin BLOCKED ME!  😂</t>
  </si>
  <si>
    <t>RT @SiddonsDan: RT:~@realDonaldTrump “Because you’d be in jail” #LockHerUp #Trump2020 #MAGA #TrumpLife 
@BoLoudon 11 year old supporter of…</t>
  </si>
  <si>
    <t>RT @Thomas1774Paine: BREAKING: DOJ -- Comey’s Immunity Deal With Mueller Does Not Cover Clandestine FBI Conspiracy to Spy on Trump; Could B…</t>
  </si>
  <si>
    <t>RT @Education4Libs: Liberals get offended when violent gang members are called “animals”, but have no problem calling the NRA a “terrorist…</t>
  </si>
  <si>
    <t>RT @1776Stonewall: Both sides admit that the FBI spied on Trump during the campaign. The New York Times and Washington Post have even broke…</t>
  </si>
  <si>
    <t>RT @charliekirk11: Trump economy strongest ever:
-Unemployment rate hits lowest of this century
-African American unemployment is at lowe…</t>
  </si>
  <si>
    <t>RT @FranSism1g: Rep Jordan First Exposed Dirty Cop Mueller In FBI-IRS Scandal https://t.co/XE9FhmVJFD</t>
  </si>
  <si>
    <t>RT @mitchellvii: Ok let me go over this again.
If Jeff Sessions had not recused himself, we would not have Mueller.  If we did not have Mu…</t>
  </si>
  <si>
    <t>RT @AMike4761: Thousands of German bikers head to Berlin to protest against #Merkel in show of patriotism.  Horrible Merkel has brought thi…</t>
  </si>
  <si>
    <t>RT @IsraelUSAforevr: It's very simple for those who do not understand yet. https://t.co/bgMXm4qgdR</t>
  </si>
  <si>
    <t>RT @SIEMPRE_FIDEL: .@JohnBrennan from a former colleague of yours:  “we viewed him as a political hack w/ the operational mind of an earthw…</t>
  </si>
  <si>
    <t>RT @PoliticalShort: "#Iran advanced its march across the Middle East during the JCPOA. They have been playing with house money that has bec…</t>
  </si>
  <si>
    <t>RT @FoxNews: .@SecPompeo: “We will apply unprecedented financial pressure on the Iranian regime… These will indeed end up being the stronge…</t>
  </si>
  <si>
    <t>RT @SecPompeo: #Iran could have used the money from #JCPOA to boost the economic fortunes of a struggling people. Instead the regime spent…</t>
  </si>
  <si>
    <t>RT @ChristineMAGAMD: After every mass shooting, the left wants to have a moment of silence.
How about a moment of silence for the soldiers…</t>
  </si>
  <si>
    <t>RT @ScottPresler: You know it's bad for the democrats when even former Bill Clinton adviser, Mark Penn, writes a piece about "Stopping Robe…</t>
  </si>
  <si>
    <t>Revoke WH credentials from @Acosta @CeciliaVega Ban them from WH press corp https://t.co/L0fKKV3kyU</t>
  </si>
  <si>
    <t>RT @TomFitton: The Obama FBI Could Have Interviewed George Papadopoulos, But Opted To Spy On Him [and the @RealDonaldTrump team] Instead ht…</t>
  </si>
  <si>
    <t>RT @RealJamesWoods: Consider Muller’s staff (16/17 of his top lawyers contributed over $50K to the Clinton campaign), the Stzrok-Page texts…</t>
  </si>
  <si>
    <t>RT @Thomas1774Paine: OBAMA &amp;amp; THE FATMAN: FBI Informant Stefan Halper Paid Over $1 Million By Obama Admin; Spied On Trump During Election ht…</t>
  </si>
  <si>
    <t>RT @1Romans58: Paid over 1 MILLION by DoD!  My tax money used to spy on my future .@POTUS  
PEOPLE NEED TO GOTO GITMO !!  
OBAMA &amp;amp; THE FA…</t>
  </si>
  <si>
    <t>RT @1776Stonewall: So the FBI leaked the story to the times and the Washington Post that there was indeed spies inside the Trump campaign.…</t>
  </si>
  <si>
    <t>RT @joshdcaplan: INBOX: 'Rep. Lee Zeldin (R-NY) and at least 16 other lawmakers to introduce 12 page resolution detailing misconduct at hig…</t>
  </si>
  <si>
    <t>RT @FoxNews: Incoming Central Intelligence Agency director Gina Haspel is sworn in by Vice President Mike Pence during a ceremony at CIA He…</t>
  </si>
  <si>
    <t>RT @1776Stonewall: A caller on Rush makes a great point, he says that if they put a spy in the Trump campaign to protect him from Russian h…</t>
  </si>
  <si>
    <t>RT @mitchellvii: WHOOPS, THERE IT IS...
"ProPublica reports the Republican National Committee (RNC) has set yet another fundraising record…</t>
  </si>
  <si>
    <t>RT @Fuctupmind: Laura Wilkerson explains to Nancy Pelosi how her son was tortured, beaten, tied up, and set on fire, by an illegal alien
N…</t>
  </si>
  <si>
    <t>RT @Jali_Cat: Please hurry @POTUS @realDonaldTrump @GOPoversight @freedomcaucus @SenWhitehouse @WhiteHouse and get things moving on these c…</t>
  </si>
  <si>
    <t>RT @JudicialWatch: Important: JW found key info showing the Obama Administration sent U.S. taxpayer money overseas to a group backed by bil…</t>
  </si>
  <si>
    <t>RT @DFBHarvard: Having supported our eldest Son through a $210,000 Ivy League education, the very last insult would be having to sit throug…</t>
  </si>
  <si>
    <t>RT @BackThePolice: Good morning! https://t.co/yAUq0krMSp</t>
  </si>
  <si>
    <t>RT @TomFitton: IG investigation necessary but not enough. @JudicialWatch doing its own investigation on Obama's spying on @realDonaldTrump…</t>
  </si>
  <si>
    <t>RT @Education4Libs: To think Donald Trump won the election with all of these well-orchestrated criminal activities going on meant to underm…</t>
  </si>
  <si>
    <t>RT @1776Stonewall: So Trump has been spied on and investigated for 3 years now. 3 fucking years! And they've dug into his entire past, and…</t>
  </si>
  <si>
    <t>RT @BryanDeanWright: Yes, I worked w/ @JohnBrennan. We viewed him as a political hack w/ the operational mind of an earthworm. (He once sai…</t>
  </si>
  <si>
    <t>RT @SecPompeo: We ask the Iranian people: do you want your country to be known as a co-conspirator with #Hizballah, #Hamas, #Taliban, and #…</t>
  </si>
  <si>
    <t>RT @sigi_hill: @Str8DonLemon @Mikelkehoe @mikeparson @Eric_Schmitt @MattStoneABC @blackwidow07 @Neilin1Neil @dbongino @DRUDGE @BillEigel @J…</t>
  </si>
  <si>
    <t>@Str8DonLemon @Mikelkehoe @mikeparson @Eric_Schmitt @MattStoneABC @blackwidow07 @Neilin1Neil @dbongino @DRUDGE @BillEigel @JCPenknife @Avenge_mypeople @RealTravisCook @philip_saulter @Lautergeist @smart_hillbilly @LarrySchweikart @RepEngler It is very obvious that 
@mikeparson 
@Rep_TRichardson 
@jaybarnes5 
@Mikelkehoe 
@robschaaf
are in cahoots
INDICT THEM
why is democRAT @staceynewman not investigated yet for the coercion of Kitty Sneed to false claims?</t>
  </si>
  <si>
    <t>RT @charliekirk11: CBS News Poll: 
68% of voters give Trump credit for booming economy 
Trump will convincingly get re-elected</t>
  </si>
  <si>
    <t>RT @RyanAFournier: The Democrats are hoping for a “blue wave” — meanwhile they are $5.3 million in debt and only have $8.7 million cash on…</t>
  </si>
  <si>
    <t>RT @OliverMcGee: Retweet so everyone sees this.
@NancyPelosi stood there and told a grieving mother whose son was murdered by an illegal i…</t>
  </si>
  <si>
    <t>RT @DineshDSouza: Translation: It’s very disturbing that our guys may be caught red-handed trying to drag Hillary across the finish line ht…</t>
  </si>
  <si>
    <t>RT @RealJack: If Brennan, Clapper, Obama, Lynch, Comey, Halper all are totally innocent with nothing to hide...
Why are they freaking out…</t>
  </si>
  <si>
    <t>RT @Education4Libs: Why are liberals anti-gun?
Because blaming guns is easier than recognizing their terrible parenting skills have led to…</t>
  </si>
  <si>
    <t>RT @dbongino: Thoroughly enjoying police-state liberals and their media acolytes all over my twitter timeline this morning. Suck it up butt…</t>
  </si>
  <si>
    <t>RT @realDonaldTrump: Under our potential deal with China, they will purchase from our Great American Farmers practically as much as our Far…</t>
  </si>
  <si>
    <t>RT @realDonaldTrump: The Wall Street Journal asks, “WHERE IN THE WORLD WAS BARACK OBAMA?”  A very good question!</t>
  </si>
  <si>
    <t>RT @realDonaldTrump: ...they then used to start an investigation about Trump. It is that simple. This guy is the genesis of this whole Deba…</t>
  </si>
  <si>
    <t>RT @realDonaldTrump: ....top of the FBI. Brennan started this entire debacle about President Trump. We now know that Brennan had detailed k…</t>
  </si>
  <si>
    <t>RT @realDonaldTrump: “John Brennan is panicking. He has disgraced himself, he has disgraced the Country, he has disgraced the entire Intell…</t>
  </si>
  <si>
    <t>RT @realDonaldTrump: China must continue to be strong &amp;amp; tight on the Border of North Korea until a deal is made. The word is that recently…</t>
  </si>
  <si>
    <t>RT @realDonaldTrump: On China, Barriers and Tariffs to come down for first time.</t>
  </si>
  <si>
    <t>RT @realDonaldTrump: China has agreed to buy massive amounts of ADDITIONAL Farm/Agricultural Products - would be one of the best things to…</t>
  </si>
  <si>
    <t>RT @realDonaldTrump: I ask Senator Chuck Schumer, why didn’t President Obama &amp;amp; the Democrats do something about Trade with China, including…</t>
  </si>
  <si>
    <t>RT @RepMarkMeadows: This is the right call from @realDonaldTrump--we've seen disturbing evidence that the FBI engaged in political targetin…</t>
  </si>
  <si>
    <t>RT @ArthurSchwartz: Why wasn’t DOJ investigating this before POTUS ordered it? https://t.co/qYvU65ILNj</t>
  </si>
  <si>
    <t>RT @mitchellvii: Don't be so hard on yourself John... https://t.co/O1LKmIfNEQ</t>
  </si>
  <si>
    <t>RT @VisioDeiFromLA: @HennessySTL Sure his lawyers vetted tweet, but the time for asking and demanding is over. It’s time HE ORDERS. He has…</t>
  </si>
  <si>
    <t>RT @WashTimes: "Let’s be clear, The DOJ and FBI, under Barack Obama, investigated and spied on the Trump presidential campaign complete wit…</t>
  </si>
  <si>
    <t>RT @ResignNowKim: @YearOfZero (1) @hafnermo got fired by @EricGreitens for being incompetent, an asshole and, according to @HennessySTL , a…</t>
  </si>
  <si>
    <t>RT @ResignNowKim: @YearOfZero (2) so of course he doesn’t give two shits about, you know, pain in the ass due process and cross exam and 6A…</t>
  </si>
  <si>
    <t>RT @YearOfZero: Absurd. He deserves the right to defend himself. If facts are as you say, they will stand on their own merit.
Only people…</t>
  </si>
  <si>
    <t>RT @RealJack: I expect nothing less from the Democratic Party’s newfound savior. https://t.co/1cYNGHdAj8</t>
  </si>
  <si>
    <t>RT @MZHemingway: If I had uncritically published a fake Russia conspiracy theory for two years, I’d be panicking and acting out too.</t>
  </si>
  <si>
    <t>RT @JudicialWatch: JW released bombshell docs from the State Dept showing the Clinton-linked Podesta Group working on behalf of the pro-Rus…</t>
  </si>
  <si>
    <t>RT @Sticknstones4: Why doesn’t #moleg want to get to the bottom of the 120K?
Yeah NO , we Demand to know who is buying your votes ! 
#gre…</t>
  </si>
  <si>
    <t>RT @VisioDeiFromLA: @realDonaldTrump 
Obama &amp;amp; cronies were spying on @IvankaTrump as she was discussing illness of her child! We know ther…</t>
  </si>
  <si>
    <t>RT @VisioDeiFromLA: “Crime, once exposed, has no refugee, but in audacity”
-Tacitus
Lock his ass up @realDonaldTrump 
Also @SecretServic…</t>
  </si>
  <si>
    <t>RT @VisioDeiFromLA: John brenan is making threats against the president @SecretService 
Look up the quote. This is a direct threat https:/…</t>
  </si>
  <si>
    <t>Meet the Coup d'état committee in #moleg
Todd Richardson @Rep_TRichardson
Jay Barnes @jaybarnes5
Jeanie Lauer @jeanielauer
Kevin Austin @KevinLAustin1
Shawn Rhoads @shawnrhoads154
Gina Mitten @gcmitts 
Tommie Pierson @TommiePierson 
Indict them all they are guilty as hell https://t.co/87iVxct4fd</t>
  </si>
  <si>
    <t>RT @JTMYVA: @JohnBrennan You are not a patriot. You are a traitor. I wouldn’t consider McConnell or Ryan patriots either but they aren’t su…</t>
  </si>
  <si>
    <t>RT @JTMYVA: @JohnBrennan So you guys are allowed to operate without impunity but Trump can’t investigate? Give me a break, Johnny!</t>
  </si>
  <si>
    <t>@JohnBrennan The biggest disaster to America is a treasonous corrupt CIA officer like you. Can't wait to see you in handcuffs and in a orange jumpsuit in public trial. Hope they don't even allow you to be groomed you scum.</t>
  </si>
  <si>
    <t>RT @DFBHarvard: The #ObamaLegacy is going to collapse from the weight of its own deceit &amp;amp; arrogance.
There is no "plausible deniability" f…</t>
  </si>
  <si>
    <t>@JCunninghamMO @EricGreitens @HawleyMO Since you are a former senator Jane, you probably know that this fake 'investigative committee' represents the corrupt pool #moleg intending to make their own rules and will do anything to suppress the truth to get rid of #Greitens so they can continue to bag MO tax$ #Fraud</t>
  </si>
  <si>
    <t>RT @JCunninghamMO: After two prosecutors dropped their cases, moving forward against @EricGreitens looks suspect and not like justice. #mol…</t>
  </si>
  <si>
    <t>RT @HennessySTL: Greatest President Ever! US, China tentatively agree on ending American trade deficit: White House
https://t.co/0xJIJpR1Rx</t>
  </si>
  <si>
    <t>RT @HennessySTL: So Much Winning! Earth Has Cooled Half a Degree Since Trump Election (VIDEO)  https://t.co/1IsKMF3wal</t>
  </si>
  <si>
    <t>RT @HennessySTL: BOOM! Devin Nunes: If FBI Paid to Spy on Trump “It’s Absolute Red Line! It’s Over With!… No Honest American Will Stand for…</t>
  </si>
  <si>
    <t>@AGJoshHawley IS A LIAR #MOGOP #HawleyMUSTResing
#HeeHaaawww also lied to Missourians about "having been elemental in the Hobby Lobby case" 
Hawley, you lied! Nobody involved in that case knows you! You just wanted to boost yourself &amp;amp; thought Missourians don't find out. #Loser https://t.co/F6Fu4qx230</t>
  </si>
  <si>
    <t>RT @EricTrump: 🇺🇸🇺🇸🇺🇸 https://t.co/h5DmhfuW7E</t>
  </si>
  <si>
    <t>RT @SecPompeo: We support the #Iranian people who are demonstrating against an oppressive government.  3 deaths &amp;amp; internet interruption sho…</t>
  </si>
  <si>
    <t>RT @MZHemingway: This is the most embarrassing headline I have possibly ever read. https://t.co/O96r9P1bnq</t>
  </si>
  <si>
    <t>RT @AndrewCMcCarthy: They said we didn’t spy on campaign. When we pointed to CarterPage, they said he was out of campaign then (tho warrant…</t>
  </si>
  <si>
    <t>RT @MZHemingway: Much more detail here about FBI spying operation against Trump campaign (with tons of false claims &amp;amp; NYT gaslighting that…</t>
  </si>
  <si>
    <t>RT @Uncle_Jimbo: I was reliably informed by the media that #Trump had so alienated the Chinese
That we would suffer an economic war of epi…</t>
  </si>
  <si>
    <t>RT @DonaldJTrumpJr: Great evening @trumplasvegas celebrating our 10 year anniversary with our incredible @trumphotels team. #vegas #lasvega…</t>
  </si>
  <si>
    <t>RT @Scavino45: “Trump donates first quarter salary to VA” https://t.co/qZMmRqjp1C</t>
  </si>
  <si>
    <t>RT @FoxNews: .@PressSec: "If the media and liberals want to defend MS-13, they're more than welcome to. Frankly, I don't think the term @PO…</t>
  </si>
  <si>
    <t>RT @steveholland1: Pres Trump is donating the first quarter of his 2018 salary to the Veterans Affairs Dept, per @PressSec</t>
  </si>
  <si>
    <t>RT @mflynnJR: More panic from the left. It’s happening..... https://t.co/2qrVkEaM69</t>
  </si>
  <si>
    <t>@SenFeinstein Dianne, you sound really concerned that your corruptions will surface. That's a good thing. You need to be indicted like any criminal.</t>
  </si>
  <si>
    <t>RT @stacyjostacyjo: @SenFeinstein Are you upset because it will show who is really has a contempt for the rule of law?  Where is the HRC Se…</t>
  </si>
  <si>
    <t>@AngelaLily0501 @HennessySTL @HawleyMO @clairecmc @Monetti4Senate @SykesforSenate Don't get wrapped up in his show.</t>
  </si>
  <si>
    <t>RT @JW1057: @sigi_hill @Change Politicians like @Rep_TRichardson should be jailed for contempt of the people!</t>
  </si>
  <si>
    <t>RT @RealJack: This weekend, Hillary Clinton said Democrats need to win the House so they can take America back.
Which seems a bit weird to…</t>
  </si>
  <si>
    <t>RT @The_Trump_Train: It’s happening... #DrainTheSwamp https://t.co/hLmCBsKBqG</t>
  </si>
  <si>
    <t>RT @ScottAdamsSays: It isn’t a stretch to call this bigger than Watergate. No hyperbole needed.  https://t.co/yGUZPCF5HG</t>
  </si>
  <si>
    <t>RT @DiamondandSilk: Which Act was violated during the 2016 election under the Obama administration?
1.  Hatch Act
2.  Logan Act
3.  Espion…</t>
  </si>
  <si>
    <t>RT @PradRachael: FRIDAY: Rush Limbaugh Hammered Former Director of National Intelligence 
James Clapper and argued that the " DEEP
STATE "…</t>
  </si>
  <si>
    <t>RT @MAGAStrong: For someone who Democrats routinely call “sexist,” Trump sure does employ a lot of women. 🤷🏻‍♂️
He provides opportunities…</t>
  </si>
  <si>
    <t>RT @Lautergeist: Follow the Money Trail.
Don't think for one second this is over.  #MoLeg still hates #MoGov for cutting off their #GravyT…</t>
  </si>
  <si>
    <t>RT @smalltownandrew: https://t.co/LYf8cP8GR7 North Carolina police find 90 million dollars worth of Meth hidden in an illegals fuel tank. T…</t>
  </si>
  <si>
    <t>RT @jen4trump1: With so Many Red Flags, Why Isn't the IRS Auditing the Clinton Foundation? #ClintonCrimes #LockThemAllUp #Haiti #clintonfou…</t>
  </si>
  <si>
    <t>RT @JenNongel: New NRA leader Oliver North on school shootings: 
“We are trying like the dickens to treat the symptoms, not the disease,”…</t>
  </si>
  <si>
    <t>RT @realDonaldTrump: I hereby demand, and will do so officially tomorrow, that the Department of Justice look into whether or not the FBI/D…</t>
  </si>
  <si>
    <t>RT @realDonaldTrump: The Witch Hunt finds no Collusion with Russia - so now they’re looking at the rest of the World. Oh’ great!</t>
  </si>
  <si>
    <t>RT @Sticknstones4: @ResignNowKim @ScottCharton @HennessySTL @RightSideUp313 @SKOLBLUE1 @EdBigCon @blackwidow07 @Avenge_mypeople @RealTravis…</t>
  </si>
  <si>
    <t>RT @ResignNowKim: @MarkCoulterKC @SammyPanettiere @AGJoshHawley @HennessySTL @Avenge_mypeople @EdBigCon @RightSideUp313 @Sticknstones4 @Nor…</t>
  </si>
  <si>
    <t>RT @ResignNowKim: @scottcharton :so your new tactic is to accuse Missouri voters who don’t support your coup and who are organizing protest…</t>
  </si>
  <si>
    <t>RT @ResignNowKim: He didn’t die. He was murdered by @BarackObama . Coroner tech who investigated Breitbart’s suspicious death died of arsen…</t>
  </si>
  <si>
    <t>RT @Sticknstones4: @blackwidow07 @MarkCoulterKC @ResignNowKim @SammyPanettiere @AGJoshHawley @HennessySTL @Avenge_mypeople @EdBigCon @Right…</t>
  </si>
  <si>
    <t>RT @ResignNowKim: (1) Nora: Truth is @HawleyMO sold his soul for his AG election.  The piper came to collect, and these “bombshells” have b…</t>
  </si>
  <si>
    <t>@AngelaLily0501 @HennessySTL @HawleyMO @clairecmc @Monetti4Senate @Monetti4Senate is a showboat globalist!
MO needs @SykesforSenate Courtland Sykes!</t>
  </si>
  <si>
    <t>RT @HennessySTL: Pipsqueak Josh @HawleyMO, who is losing badly to @clairecmc, wants to scapegoat Governor Greitens for Hawley’s failed camp…</t>
  </si>
  <si>
    <t>RT @ResignNowKim: @AngelaLily0501 @HennessySTL @HawleyMO @clairecmc @Monetti4Senate Bill, since Hawley’s absenteeism and incompetence as a…</t>
  </si>
  <si>
    <t>RT @Hlf_Grd_Krshr: I quit caring about royal weddings in 1776.
#MAGA #THESTORM #GREATAWAKENING 
#QANON #Trump2020 #wwg1wga https://t.co/JRa…</t>
  </si>
  <si>
    <t>RT @LisaMei62: I have a feeling we will get some answers soon...
#NowComesThePain #ReleaseTheDocuments https://t.co/91EH9RgWIp</t>
  </si>
  <si>
    <t>RT @PersistenceTee: They (Obama’s deep state) essentially attempted to reboot the COLD WAR to cover up their own 2016 election interference…</t>
  </si>
  <si>
    <t>RT @LauraLoomer: I used to be critical of homeschooling, but with these school shootings, liberal indoctrination, and the lack of school sa…</t>
  </si>
  <si>
    <t>RT @charliekirk11: Immediate answers needed: 
Who authorized putting a spy in Trump’s campaign?
Did Obama know about this?
Did Comey? If…</t>
  </si>
  <si>
    <t>RT @TracyMFinch: https://t.co/pslLz2r4Ux</t>
  </si>
  <si>
    <t>RT @JackPosobiec: Roger Stone crushing it on Meet the Press right now. Sleepy Eyes Chuck Todd about to tap out!</t>
  </si>
  <si>
    <t>RT @RepLeeZeldin: The person the DOJ/FBI sent to the Trump campaign is called a spy &amp;amp; the left wants us to instead debate what the definiti…</t>
  </si>
  <si>
    <t>RT @TracyMFinch: Dem McCaskill slammed for vote against Trump CIA pick https://t.co/Ge5ORSmo20 #FoxNews #REASONFOR🚫VOTE #CLASSIFIED?????</t>
  </si>
  <si>
    <t>RT @The_Trump_Train: @realDonaldTrump claim here now:https://t.co/jk4VsueD5F      
FREE #MAGA HATS AVAILABLE IN RED, WHITE AND BLACK</t>
  </si>
  <si>
    <t>RT @The_Trump_Train: @realDonaldTrump Jeff Sessions must prosecute these criminals IMMEDIATELY!</t>
  </si>
  <si>
    <t>RT @realDonaldTrump: Happy #ArmedForcesDay to our GREAT military men and women for their selfless service to our Nation! https://t.co/jbJvr…</t>
  </si>
  <si>
    <t>RT @realDonaldTrump: Great to have our incredible First Lady back home in the White House. Melania is feeling and doing really well. Thank…</t>
  </si>
  <si>
    <t>RT @realDonaldTrump: If the FBI or DOJ was infiltrating a campaign for the benefit of another campaign, that is a really big deal. Only the…</t>
  </si>
  <si>
    <t>RT @realDonaldTrump: ...in the Hillary Clinton Campaign where she deleted 33,000 Emails, got $145,000,000 while Secretary of State, paid Mc…</t>
  </si>
  <si>
    <t>RT @realDonaldTrump: ....At what point does this soon to be $20,000,000 Witch Hunt, composed of 13 Angry and Heavily Conflicted Democrats a…</t>
  </si>
  <si>
    <t>RT @realDonaldTrump: Things are really getting ridiculous. The Failing and Crooked (but not as Crooked as Hillary Clinton) @nytimes has don…</t>
  </si>
  <si>
    <t>RT @realDonaldTrump: Now that the Witch Hunt has given up on Russia and is looking at the rest of the World, they should easily be able to…</t>
  </si>
  <si>
    <t>RT @realDonaldTrump: ....and why hasn’t the Podesta brother been charged and arrested, like others, after being forced to close down his ve…</t>
  </si>
  <si>
    <t>RT @realDonaldTrump: What ever happened to the Server, at the center of so much Corruption, that the Democratic National Committee REFUSED…</t>
  </si>
  <si>
    <t>RT @Thomas1774Paine: Brennan “Needs Very Good Lawyer” Says DiGenova; “He’s Going To Be In Front Of A Grand Jury Shortly” (VIDEO) https://t.…</t>
  </si>
  <si>
    <t>RT @ResignNowKim: So @mikeparson , have you ever leveraged your political position for personal gain? There are rumors you had, as a senato…</t>
  </si>
  <si>
    <t>RT @dbongino: After the public revelation of the scandal involving the spying operation on the Trump team, every American should re-evaluat…</t>
  </si>
  <si>
    <t>RT @BuzzPatterson: Oh, we’re outraged. The rage grows daily. Where is it? Ask CNN, MSNBC, ABC, the New York Times, etc. More importantly, g…</t>
  </si>
  <si>
    <t>RT @CollinRugg: The Texas shooter broke every possible law that was put in place to protect America’s citizens, yet he still was able to ki…</t>
  </si>
  <si>
    <t>RT @RealJack: Crazy. 
Still not a shred of Trump Russia collusion.
But everyday, there’s more evidence of collusion between the Obama Adm…</t>
  </si>
  <si>
    <t>RT @JudicialWatch: JW visited frustrated ranchers &amp;amp; residents in Sierra Vista, a Cochise County town located 75 miles southeast of Tucson w…</t>
  </si>
  <si>
    <t>RT @drawandstrike: Here's exactly the kind of thing I'm talking about: lazy inaccurate reporting like this.  
In a week or two the Left wi…</t>
  </si>
  <si>
    <t>RT @drawandstrike: Now that DOJ IG Horowitz's draft report has been handed out to the principals involved in sabotaging the Clinton email i…</t>
  </si>
  <si>
    <t>RT @drawandstrike: If so, stop for a second and think real hard. Even WITH these awesome powers, what did he manage to find when it comes t…</t>
  </si>
  <si>
    <t>RT @drawandstrike: This thing is going to end with Mueller not having mussed up a single hair on Trump's head.  
You can quote me on that.…</t>
  </si>
  <si>
    <t>RT @patrickalbanese: @_VachelLindsay_ Frightening actually. 
They had zero reason to suspect Trump of crimes, yet investigated him thoroug…</t>
  </si>
  <si>
    <t>RT @FoxNews: .@netanyahu on U.S. embassy in Jerusalem: "I think this is a moment of history and I think President @realDonaldTrump has made…</t>
  </si>
  <si>
    <t>RT @mitchellvii: Illegal immigrants are no more immigrants than shoplifters are undocumented shoppers.</t>
  </si>
  <si>
    <t>RT @Patriotic_Va: Give them enough time Democrats &amp;amp; the MSM are going to kill and eat each other in their attempt to smear President Trump.…</t>
  </si>
  <si>
    <t>RT @JenNongel: “For the life of me, I’ll never understand how the Democrats can question our President’s sanity while continuing to put Rep…</t>
  </si>
  <si>
    <t>RT @Education4Libs: Question for parents.
If you had a choice between two schools; one with a "gun free zone" sign &amp;amp; the other with an "ar…</t>
  </si>
  <si>
    <t>RT @smalltownandrew: https://t.co/3AI9oEcdi5 New report out that the FBI had an informant in the Trump campaign before it officially began…</t>
  </si>
  <si>
    <t>RT @Thomas1774Paine: One of my goals in the last two years was to expose the FBI for what it had become. And we have helped do that. They t…</t>
  </si>
  <si>
    <t>RT @Neilin1Neil: @Norasmith1000 @magathemaga1 @EricGreitens @Rep_TRichardson @Eric_Schmitt @SKOLBLUE1 @Avenge_mypeople @jrosenbaum @blackwi…</t>
  </si>
  <si>
    <t>RT @Norasmith1000: @magathemaga1 @EricGreitens @Rep_TRichardson @Eric_Schmitt @SKOLBLUE1 @Avenge_mypeople @Neilin1Neil @jrosenbaum @blackwi…</t>
  </si>
  <si>
    <t>RT @jeepsuzih2: Very Sick ....That You think that way 😈
Guess that means you Don't Care about your Daughter in the least ...  wow that's so…</t>
  </si>
  <si>
    <t>RT @ScottPresler: Join me TODAY at Anaheim City Hall, 12 p.m. - 2, in support of our police &amp;amp; in opposition to SB 54.
There is an undergro…</t>
  </si>
  <si>
    <t>RT @magathemaga1: @MattStoneABC @ABC @JW1057  https://t.co/5aUrmY7uGI</t>
  </si>
  <si>
    <t>RT @magathemaga1: @MattStoneABC @ABC For a person like me, I read over the released depositions and discovered that the witness was caught…</t>
  </si>
  <si>
    <t>RT @magathemaga1: @MattStoneABC @ABC You have got to investigate this Matt. There is a story here.
It offers.
Good guys
Bad guys 
Scandal…</t>
  </si>
  <si>
    <t>RT @magathemaga1: @MattStoneABC @ABC Hey Matt see my thread 
https://t.co/AHT3HUE1WP</t>
  </si>
  <si>
    <t>RT @magathemaga1: @MattStoneABC @ABC Hashtags you need to look at #KimShady #ScammingScott and #MoneybagsAl in addition to #moleg 
@EricGr…</t>
  </si>
  <si>
    <t>RT @Sticknstones4: @MattStoneABC @ABC @nicolergalloway @MissouriRevenue 
Will you be auditing Scott Faughn &amp;amp; all his companies 
To where he…</t>
  </si>
  <si>
    <t>RT @JW1057: @MattStoneABC @ABC Ask Al Watkins if he filed Form 8300 with the IRS. It is generally required, as is the case here, when recei…</t>
  </si>
  <si>
    <t>RT @MattStoneABC: ABC News has obtained a photo of one of the two packages each containing $50,000 that attorney Al Watkins claims he recei…</t>
  </si>
  <si>
    <t>RT @Str8DonLemon: Did #MoneyBagsAl file Form 8300 with  IRS. It is required, as is the case here, when receiving $10k or more in cash. Fede…</t>
  </si>
  <si>
    <t>RT @Snakeriver123: @SebGorka @sigi_hill @DNC Dementia sucks . She needs help why her family let's this go on is just disgusting</t>
  </si>
  <si>
    <t>RT @magathemaga1: HR 2 is basically a fail safe that Jay Barnes and his star chamber concocted because the criminal proceedings turned out…</t>
  </si>
  <si>
    <t>RT @magathemaga1: What is HR 2?
It does the following:
👉Prevents @EricGreitens team from cross examine witnesses 
👉Prevents #Greitens fr…</t>
  </si>
  <si>
    <t>RT @JW1057: Of course, @Mikelkehoe likely won't be Lt. Gov. for long. Not if the reports about @mikeparson are true. Damn! Missouri may bur…</t>
  </si>
  <si>
    <t>RT @JW1057: Hmm. Do you suppose @mikeparson will make @Mikelkehoe Lt. Gov. if the they succeed in impeaching/convicting @GovGreitensMO? Iro…</t>
  </si>
  <si>
    <t>Isn't that the truth!
Corrupt #moleg now making up their own rules/crimes - calling it fact finding - to impeach Governor @EricGreitens 
Slimy corrupt pack #MOSen @Rep_TRichardson @jaybarnes5 @mikeparson @Mikelkehoe https://t.co/xtCpQuegXY</t>
  </si>
  <si>
    <t>@JW1057 @mikeparson @Mikelkehoe @GovGreitensMO @EricGreitens @Mikelkehoe @jaybarnes5 know as 'absolute assholes' at #moleg</t>
  </si>
  <si>
    <t>@JW1057 @Change Todd Richardson is a slimy greasy asshole. this will drip off of him. We tried to talk with him. chickenshit hid in his office "w family". They are all slime bags
I signed anyway.</t>
  </si>
  <si>
    <t>#SykesForUSSenate https://t.co/b56XfDppwe</t>
  </si>
  <si>
    <t>Exactly!
The Brits are browbeaten - two commoner babies that we know of were let to die while these parasites indulge on the commoners taxes 
Very unfortunate https://t.co/4s8IiHQcyo</t>
  </si>
  <si>
    <t>RT @T_S_P_O_O_K_Y: And again - the national security "experts" from the Obama WH, @BrookingsInst, @CNASdc, @CNN
, @MSNBC were wrong and con…</t>
  </si>
  <si>
    <t>RT @RealJamesWoods: I love her. https://t.co/LVBO409701</t>
  </si>
  <si>
    <t>RT @brunofranzR: Jetzt wird sich zeigen wie das höchste deutsche Gericht politisch ideologisch besetzt ist nach über 12 Jahre agitatorische…</t>
  </si>
  <si>
    <t>RT @RSF_LAW: Cole County prosecutor declines to pursue case against Greitens https://t.co/c0hsbxuGbj</t>
  </si>
  <si>
    <t>RT @realDonaldTrump: America is blessed with extraordinary energy abundance, including more than 250 years worth of beautiful clean coal. W…</t>
  </si>
  <si>
    <t>RT @realDonaldTrump: California finally deserves a great Governor, one who understands borders, crime and lowering taxes. John Cox is the m…</t>
  </si>
  <si>
    <t>RT @realDonaldTrump: Just met with UN Secretary-General António Guterres who is working hard to “Make the United Nations Great Again.” When…</t>
  </si>
  <si>
    <t>RT @realDonaldTrump: America is a Nation that believes in the power of redemption. America is a Nation that believes in second chances - an…</t>
  </si>
  <si>
    <t>RT @SteveForbesCEO: .@realDonaldTrump speech on drug costs pays immediate dividends. New @Amgen drug lists at 30% less than expected. Middl…</t>
  </si>
  <si>
    <t>RT @realDonaldTrump: We grieve for the terrible loss of life, and send our support and love to everyone affected by this horrible attack in…</t>
  </si>
  <si>
    <t>RT @realDonaldTrump: School shooting in Texas. Early reports not looking good. God bless all!</t>
  </si>
  <si>
    <t>RT @realDonaldTrump: Reports are there was indeed at least one FBI representative implanted, for political purposes, into my campaign for p…</t>
  </si>
  <si>
    <t>RT @realDonaldTrump: Why isn’t disgraced FBI official Andrew McCabe being investigated for the $700,000 Crooked Hillary Democrats in Virgin…</t>
  </si>
  <si>
    <t>RT @realDonaldTrump: Fake News Media had me calling Immigrants, or Illegal Immigrants, “Animals.” Wrong! They were begrudgingly forced to w…</t>
  </si>
  <si>
    <t>RT @realDonaldTrump: “Apparently the DOJ put a Spy in the Trump Campaign. This has never been done before and by any means necessary, they…</t>
  </si>
  <si>
    <t>RT @thebradfordfile: President Trump should give Stefan Halper a twitter shout-out.
THANK HIM FOR THE WORK ON HIS CAMPAIGN.</t>
  </si>
  <si>
    <t>RT @DiamondandSilk: .@DiamondandSilk go off on Jay-Z for convincing rapper Meek Mill to be a no show for the Prison Reform Summit at the Wh…</t>
  </si>
  <si>
    <t>RT @RealTravisCook: As one of the #GOP base, I absolutely agree with the lady who wrote this letter.  It's not #Greitens that I am disappoi…</t>
  </si>
  <si>
    <t>RT @robbiebrouk: Missouri House of Representatives: Urgent! Stop the Coup Against Gov. Eric Greitens - Sign the Petition! https://t.co/llFP…</t>
  </si>
  <si>
    <t>RT @DukePesta: When Schools, Administrators, Cops, and Agents Can't Protect Kids.
Parents WILL.
Keep them home and receive a fantastic ed…</t>
  </si>
  <si>
    <t>RT @Sticknstones4: W O K E    A F    V O T E R 
#Democrats #Republicans #independents #libertarians
#turncoat #Moleg #Mosen #MoSen #DrainT…</t>
  </si>
  <si>
    <t>RT @HotPokerPrinces: What has come out of the baseless Greitens Witch Hunt?
Woke Voters !  #Moleg  We see Your corrupt ways 
#missouri #g…</t>
  </si>
  <si>
    <t>RT @RealJack: Democrats don’t give a crap about all the babies Planned Parenthood kills nor do they care about or stopping all the underage…</t>
  </si>
  <si>
    <t>RT @Techno_Fog: Alright, we can go with that. 
Since these are the new rules, I can't wait for Trump to spy on Elizabeth Warren or Kamala…</t>
  </si>
  <si>
    <t>RT @RyanAFournier: Longer waiting periods for guns, harder background checks and banning semi-automatics would have done nothing to stop to…</t>
  </si>
  <si>
    <t>RT @NameRedacted7: For two years, during the campaign &amp;amp; up until now the Left were hellbent on protecting likes of Sally Yates, McCabe, L P…</t>
  </si>
  <si>
    <t>RT @GovMikeHuckabee: One thing common to mass shootings is that we make a celebrity out of the shooter; report, but don't do nonstop covera…</t>
  </si>
  <si>
    <t>RT @charliekirk11: Shooters go to places where there is no self-defense allowed 
Abolish gun fee zones. Implement armed guards. 
We prote…</t>
  </si>
  <si>
    <t>Hey crooked #moleg @AGJoshHawley
Can you read?
No charge on Greitens on campaign finance report https://t.co/3xmABtinqp</t>
  </si>
  <si>
    <t>RT @SorosInSTL: Scott Charton, friends with Scott Faughn and connected around the state, likely knows where the money for Al Watkins came f…</t>
  </si>
  <si>
    <t>RT @JCunninghamMO: #MOLeg beware. This letter writer expresses what a lot of your base strongly think.  https://t.co/ReVLsgmItg</t>
  </si>
  <si>
    <t>RT @SykesforSenate: No more RINOs. No more Liberals. No more Senate Failures.
WATCH FULL VIDEO HERE:  https://t.co/kygQFWqDTu 
#MAGA #MOSEN…</t>
  </si>
  <si>
    <t>RT @sigi_hill: @SykesforSenate @Change Bravo Courtland! Thank You!
Together we will drain the swamp! You have the guts that it takes!
#Cour…</t>
  </si>
  <si>
    <t>@SykesforSenate @Change Bravo Courtland! Thank You!
Together we will drain the swamp! You have the guts that it takes!
#CourtlandSykesForUSSenate
#IStandForCourtlandSykes
#IStandForGreitens
#IStandForTrump
#MAGA all the way!</t>
  </si>
  <si>
    <t>@SykesforSenate @JW1057 @GovGreitensMO Bravo Courtland! Thank You!
Together we will drain the swamp! You have the guts that it takes!
#CourtlandSykesForUSSenate</t>
  </si>
  <si>
    <t>More reason to NOT VOTE FOR crooked misleading @clairecmc for MO US Senate
👉she votes no on Gina Haspel
👉she votes no on Taxreform
just to name a few...
NO to lying @AGJoshHawley !
Vote @SykesforSenate 
https://t.co/RdVG7yLRLv</t>
  </si>
  <si>
    <t>@philip_saulter @ws_missouri What's your problem Will, the Springfield Newsleader is called the 'Springfield Misleader' since decades in Springfield, businesses are avoiding the Springfield Misleader bc of your left-distortions. 3 'anonymous'won't make a difference, when you are #FakeNews you are #FakeNews</t>
  </si>
  <si>
    <t>RT @TheRealHublife: Bill Gates is out here running his mouth hoping that the world doesn't find out what he's been doing with those billion…</t>
  </si>
  <si>
    <t>RT @TuckerCarlson: Tucker's new book #ShipOfFools is now available for preorder! Click the link below to be one of the first to read! #Tuck…</t>
  </si>
  <si>
    <t>RT @bennyjohnson: Here is the full clip of Trump's "animals" comments. 
The CA Sheriff was lamenting not being able to report violent MS-13…</t>
  </si>
  <si>
    <t>RT @MarkDice: Watch Nancy Pelosi defend MS-13 gang members who have infiltrated America.  If you want her to be the Speaker of the House ag…</t>
  </si>
  <si>
    <t>RT @SebGorka: The @DNC truly hasn’t learnt a single thing since November 8 2016. 
                  GOOD. https://t.co/f5Xd6ViZsn</t>
  </si>
  <si>
    <t>RT @WBEplantlady: Where are the Obama presidential papers going if not in his library. Once again the Obama administration wants to hide al…</t>
  </si>
  <si>
    <t>RT @tommy827211: Brennan and barry both should be locked up! TiredTired of hearing what they did too President and Candidate Trump. AG. Ses…</t>
  </si>
  <si>
    <t>RT @Education4Libs: Obama's plan to build a 12-story museum &amp;amp; library dedicated to his presidency has been approved.
So let me ask....
As…</t>
  </si>
  <si>
    <t>RT @CollinRugg: It cracks me up when Dems call Trump an “idiot”
Trump is worth billions, won the presidency and is the most powerful man i…</t>
  </si>
  <si>
    <t>RT @VisioDeiFromLA: Stay Safe Rudy.
#MAGA https://t.co/eH9VjXzkiU</t>
  </si>
  <si>
    <t>RT @mandymendez90: 5 days and counting.....where is James Woods????? I hope he’s not being silenced. We miss you 😘 @RealJamesWoods https://…</t>
  </si>
  <si>
    <t>RT @RealJack: This week, the media &amp;amp; Democrats defended Hamas terrorists, Kim Jong Un’s nuclear program, and MS-13.
They’re so Anti-Americ…</t>
  </si>
  <si>
    <t>RT @jenster_the: I’m a legal immigrant, the day I got citizenship I put a big USA flag on a pole outside my house I just wanna say I am so…</t>
  </si>
  <si>
    <t>RT @FoxNews: .@TuckerCarlson: "Why would the left be defending the country's most violent street gang?" #Tucker https://t.co/DDNColYOhq</t>
  </si>
  <si>
    <t>RT @SecOfState70: In a span of 48 hours President Trump got the MSM to side with North Korea and MS-13.</t>
  </si>
  <si>
    <t>RT @Jaye_inUSA: Chuck Schumer compares our ancestors to MS-13 gang members that come to our Country illegally, and says they “aren’t animal…</t>
  </si>
  <si>
    <t>RT @PoliticalShort: DOJ leaks info to WaPo about source. Then FBI leaks more info to NYT about source. Now, DOJ leaks even more info about…</t>
  </si>
  <si>
    <t>RT @TT45Pac: KABOOM! Former U.S. Attorney Joe Digenova: John Brennan Will Soon Be Hauled Off In Front Of A Grand Jury [Video] https://t.co/…</t>
  </si>
  <si>
    <t>RT @OliverMcGee: Share your #MAGA pride to The Honorable Gina Haspel, Senate Confirmed today as the first woman @CIA Director. 
Congratula…</t>
  </si>
  <si>
    <t>RT @CoreyLMJones: Trump was being kind when he referred to MS-13 members as “animals.”
Calling MS-13 members “animals” is an insult to ani…</t>
  </si>
  <si>
    <t>RT @chuckwoolery: FOX NEWS CONFIRMS: Obama’s Weapons Ended Up In Hands of ISIS https://t.co/KeIkc1D0Dq https://t.co/Dppi2zl9h1</t>
  </si>
  <si>
    <t>RT @charliekirk11: My great-grandparents weren’t MS-13 gang members who raped women, trafficked drugs, committed crimes, and ran child sex…</t>
  </si>
  <si>
    <t>RT @SIEMPRE_FIDEL: .@EricHolder Tic Tic MF!  #FastAndFurious  https://t.co/GwUv0vWFuS</t>
  </si>
  <si>
    <t>RT @brandongroeny: Can someone please explain to me how it’s okay to kill an unborn baby but calling MS-13 “animals” or waterboarding terro…</t>
  </si>
  <si>
    <t>RT @Education4Libs: Planned Parenthood spoke out against President Trump &amp;amp; acknowledged MS-13 members as human beings that have inherent di…</t>
  </si>
  <si>
    <t>RT @Techno_Fog: New: Transcript from the May 16 hearing on the Special Counsel's Russian
troll case. 
Biggest takeaway: Special Counsel Rh…</t>
  </si>
  <si>
    <t>RT @CalebJHull: If you’re actually upset that Trump called MS-13 “animals,” here’s a reminder on what they do:
• Child prostitution
• Mach…</t>
  </si>
  <si>
    <t>RT @1776Stonewall: Democrats refused to say Islamic terrorism and now they refuse to call MS13, who rip out childrens hearts, "animals" - I…</t>
  </si>
  <si>
    <t>RT @RyanAFournier: The President chimes in on the #Yanny / #Laurel debate. This is hilarious! WATCH: https://t.co/rHthqHCUSC</t>
  </si>
  <si>
    <t>#Animals https://t.co/dEiKbv7qrx</t>
  </si>
  <si>
    <t>RT @SavingAmerica4U: 🔴FBI BUSTED: Comey’s Memo Leaker &amp;amp; Secretly-Appointed Fed Agent Never Passed His FBI Background Check
FACT: Comey's f…</t>
  </si>
  <si>
    <t>RT @StephenMilIer: Hillary's 2016 strategy:
"Operation Crossfire Hurricane"
Trump's 2016 strategy:
"Operation Wisconsin"</t>
  </si>
  <si>
    <t>RT @RealJack: Bill Clinton was paid $500,000 for a speech in Russia.
Obama told a Russian official he'd have more flexibility after the el…</t>
  </si>
  <si>
    <t>RT @ArthurSchwartz: Didn’t you hire the Awan brothers? https://t.co/r8ZAHnJahQ</t>
  </si>
  <si>
    <t>RT @JacobAWohl: Being a socialist senator pays well apparently https://t.co/YhdI7VkoKM</t>
  </si>
  <si>
    <t>RT @JW1057: Sign petition to support @GovGreitensMO.   
https://t.co/k8iYXhjOl5
#Missouri #STLCards #StLouis #DonaldJTrump #MAGA #MAGA201…</t>
  </si>
  <si>
    <t>RT @DonaldJTrumpJr: Awesome #throwbackthursday picture of @realdonaldtrump watching his grandson Spencer play during the 2017 White House E…</t>
  </si>
  <si>
    <t>RT @EricTrump: #MakeAmericaGreatAgain 🇺🇸🇺🇸🇺🇸 https://t.co/GpvroaMbA6</t>
  </si>
  <si>
    <t>RT @realDonaldTrump: It was my great honor to visit with our HEROES last night at Walter Reed Medical Center. There is nobody like them! ht…</t>
  </si>
  <si>
    <t>RT @realDonaldTrump: Tomorrow, the House will vote on a strong Farm Bill, which includes work requirements. We must support our Nation’s gr…</t>
  </si>
  <si>
    <t>RT @realDonaldTrump: Great talk with my friend President Mauricio Macri of Argentina this week. He is doing such a good job for Argentina.…</t>
  </si>
  <si>
    <t>RT @realDonaldTrump: Talking trade with the Vice Premier of the People’s Republic of China, Liu He. https://t.co/9T7Iq6F3Xe</t>
  </si>
  <si>
    <t>RT @realDonaldTrump: Congratulations to our new CIA Director, Gina Haspel! https://t.co/n1xj9LSV9D</t>
  </si>
  <si>
    <t>RT @realDonaldTrump: Congrats to the House for passing the VA MISSION Act yesterday. Without this funding our veterans will be forced to st…</t>
  </si>
  <si>
    <t>RT @realDonaldTrump: Despite the disgusting, illegal and unwarranted Witch Hunt, we have had the most successful first 17 month Administrat…</t>
  </si>
  <si>
    <t>RT @realDonaldTrump: Wow, word seems to be coming out that the Obama FBI “SPIED ON THE TRUMP CAMPAIGN WITH AN EMBEDDED INFORMANT.” Andrew M…</t>
  </si>
  <si>
    <t>RT @realDonaldTrump: Congratulations America, we are now into the second year of the greatest Witch Hunt in American History...and there is…</t>
  </si>
  <si>
    <t>RT @realDonaldTrump: Gina Haspel is one step closer to leading our brave men and women at the CIA. She is exceptionally qualified and the S…</t>
  </si>
  <si>
    <t>RT @realDonaldTrump: ...and voted against the massive Tax Cut Bill. He’s also weak on borders and crime. Sadly, our great Military and Vets…</t>
  </si>
  <si>
    <t>RT @realDonaldTrump: Lou Barletta will be a great Senator for Pennsylvania but his opponent, Bob Casey, has been a do-nothing Senator who o…</t>
  </si>
  <si>
    <t>RT @realDonaldTrump: Today, it was my great honor to welcome President Mirziyoyev of Uzbekistan to the @WhiteHouse! https://t.co/3EkHChjnYA</t>
  </si>
  <si>
    <t>RT @MissouriGOP: Moderate you say? Claire promised to work with Trump, but with her “NO” vote on Haspel, she’s obstructed TEN of President…</t>
  </si>
  <si>
    <t>RT @JackPosobiec: I thought we had reached peak media derangement, but now here they are defending MS-13 child rapists</t>
  </si>
  <si>
    <t>RT @DLoesch: MS-13 are good guys, Hamas did nothing wrong, but law-abiding gun owners are “terrorists.” Unreal.</t>
  </si>
  <si>
    <t>RT @StefanMolyneux: Animals.
https://t.co/aDeDeOenbu</t>
  </si>
  <si>
    <t>RT @Trader_Moe: They Moored Greitens, who is guilty of nothing but an extramarital affair (which isn't our concern).  Don't let the left ge…</t>
  </si>
  <si>
    <t>RT @RyanAFournier: Congratulations to Gina Haspel on being the FIRST female Director of the CIA and thank you President Trump for picking h…</t>
  </si>
  <si>
    <t>@SenFeinstein Sure Dianne, that's why you should share your house and your bank account with them. And while we are at it, why do you have a wall around your house????????🤪#Hypocrite and #Liar</t>
  </si>
  <si>
    <t>RT @InstructScholar: Freedom Caucus @freedomcaucus doing their job again! Keep holding them accountable guys! We're behind you all the way!</t>
  </si>
  <si>
    <t>RT @RealTravisCook: So it's ok for Brunner to use the list, but not #Greitens??? https://t.co/aDCEqnTsiu</t>
  </si>
  <si>
    <t>RT @KRCG13: JUST IN: Catherine Hanaway, counsel for Greitens for Missouri, releases statement regarding today's court filing, says governor…</t>
  </si>
  <si>
    <t>It took crooked #KimShady this long to come up with that idea? https://t.co/JEzZGZe9EE</t>
  </si>
  <si>
    <t>RT @RuthieRedSox: #IDontTrustPeoplewho...
...are with Her 👇 https://t.co/Zj2pyZBFDE</t>
  </si>
  <si>
    <t>RT @magathemaga1: Hey @supportelijah 
Why don’t you get the West butler county bag man into the @MOHouseGOP for questioning on where the m…</t>
  </si>
  <si>
    <t>RT @magathemaga1: @JohnLamping was reading ur feed... I assume this is pretty much close to target?
Also noticed too that guys in @MOHouse…</t>
  </si>
  <si>
    <t>RT @Neilin1Neil: JohnBrunner Team using the Mission Continues list of donors.Remember ScottDeickhaus the Greitens hater from facebook?Is co…</t>
  </si>
  <si>
    <t>RT @Neilin1Neil: Makes one wonder how many reps hate Greitens because he didNOTappoint them to high paying state jobs? Bet ya plenty @Kathi…</t>
  </si>
  <si>
    <t>RT @Sticknstones4: @KMOV When are these witch hunts going to end ? 
Jay Barnes never sued his buddy Scott Faughn 
for not complying to his…</t>
  </si>
  <si>
    <t>RT @ResignNowKim: (5) .... another asinine Western District opinion in which 287.780 was held, SHOCKER, to not be applicable to public empl…</t>
  </si>
  <si>
    <t>RT @ResignNowKim: (4) ... read the State out of the definition in 213.010?????? Quick Answer: it renders that portion of 213.065 a legal nu…</t>
  </si>
  <si>
    <t>RT @ResignNowKim: (3) ... the full and equal use and enjoyment within this state of any PLACE OF PUBLIC ACCOMMODATION ... without discrimin…</t>
  </si>
  <si>
    <t>RT @ResignNowKim: (2) Cynthia: you clearly didn't read the goddamned definition of "PLACES OF PUBLIC ACCOMMODATION" in Section 213.010.  Di…</t>
  </si>
  <si>
    <t>RT @ResignNowKim: (1) So, I just read State ex rel. Blue Springs School District v. The Honorable Jack R. Grate WD 81197 (Mo Ct. App. W.D.…</t>
  </si>
  <si>
    <t>RT @ResignNowKim: @JohnLamping That’s the only way this crap is going to see the light of day- subpoenas and testimony- the LIHTC credits a…</t>
  </si>
  <si>
    <t>@JW1057 @JohnLamping These crooks are scared of depositions
Covfefe - they will lose!</t>
  </si>
  <si>
    <t>RT @JohnLamping: Yes, they all know that and that's why the strategy has always been to get Eric to resign. They have as much to lose if it…</t>
  </si>
  <si>
    <t>RT @Blackboxhalo: @tonymess @EricGreitens Why did Local media use dark money cash to buy the KS/PS story?</t>
  </si>
  <si>
    <t>RT @philip_saulter: @Blackboxhalo @tonymess @EricGreitens Let's be real here.  Scott Faun and the true source of the money want you to thin…</t>
  </si>
  <si>
    <t>@nicolergalloway Hey Nicole, stop harassing our Governor. Why don't you audit yourself, prove that your office is properly working - or you would have already investigated the corruption of your crooked buddy Kim Gardner</t>
  </si>
  <si>
    <t>The replacement auditor that doesn't get her real auditor job done unless she can manufacture false charges to profile herself. #AuditNicoleGallowayCorruption https://t.co/eslVQi42qW</t>
  </si>
  <si>
    <t>@YearOfZero @nicolergalloway is a disastrous failure! Known to not do her job unless she can make up charges to profile herself. She must be audited herself because she is a screw-up - the next #BotoxNancy</t>
  </si>
  <si>
    <t>RT @magathemaga1: Find the Funder #MoLeg 
@MattStoneABC @EricGreitens @MOHouseGOP @MOGOP_Chairman @Rep_TRichardson @seanhannity @DRUDGE…</t>
  </si>
  <si>
    <t>RT @magathemaga1: Hi
Curious about the #MoLeg star chamber is that they don't seem interested at all in interviewing The West Butler Count…</t>
  </si>
  <si>
    <t>RT @JohnAMDG: Gina Haspel confirmed as CIA director, first woman to lead agency
https://t.co/2T3c0KxvHx
Outstanding! She broke the glass c…</t>
  </si>
  <si>
    <t>RT @JohnAMDG: #greitens #GreitensImpeachment  "The Dukes of Jefferson City" - Josh Halwey as Boss Hogg, Jay Barnes as Sheriff Roscoe Coltra…</t>
  </si>
  <si>
    <t>RT @JohnLamping: It's the Jeff City insiders who are nervous. The plan was to get him to resign. He was supposed to be gone months ago. Whe…</t>
  </si>
  <si>
    <t>RT @VisioDeiFromLA: @JohnLamping Look how tony seems super concerned about corrupt people going down. Meanwhile, they are going after a stu…</t>
  </si>
  <si>
    <t>RT @Sticknstones4: @JohnLamping Can i get a front row seat for that !    The one time I’d actually be interested in watching a Missouri cri…</t>
  </si>
  <si>
    <t>#JoshHawleyResign
You are no better than Claire, YOU LIE
YOU FAILED TO STAND FOR DUE PROCESS TO BACKSTAB THE GOVERNOR TO PROFILE YOURSELF
YOU LIED TO MISSOURIANS ABOUT DEFENDING HOBBY LOBBY - YOU WERE NEVER INVOLVED IN THAT CASE!!!!!
#JoshHawleyResign
#JoshHawleyResign
#MOSen https://t.co/uYzmFSId1k</t>
  </si>
  <si>
    <t>@HawleyMO #JoshHawleyResign
You are no better than Claire, YOU LIE
YOU FAILED TO STAND FOR DUE PROCESS TO BACKSTAB THE GOVERNOR TO PROFILE YOURSELF
YOU LIED TO MISSOURIANS ABOUT DEFENDING HOBBY LOBBY - YOU WERE NEVER INVOLVED IN THAT CASE!!!!!
#JoshHawleyResign
#JoshHawleyResign
#MOSen</t>
  </si>
  <si>
    <t>RT @Sally_0508: Missouri House of Representatives: Urgent! Stop the Coup Against Gov. Eric Greitens - Sign the Petition! https://t.co/30PcS…</t>
  </si>
  <si>
    <t>@JW1057 @philip_saulter @StateHouseRock @stltoday @Rep_TRichardson @jaybarnes5 @jeanielauer @KevinLAustin1 @shawnrhoads154 @gcmitts @TommiePierson No kidding, then we need to target him more. Are you going to be in JC on Friday?</t>
  </si>
  <si>
    <t>RT @philip_saulter: If you believe that abusing our legal system to attack a political opponent and then using a dismissed case as the grou…</t>
  </si>
  <si>
    <t>RT @Hope4Hopeless1: .@POTUS #Moleg #Mogov #WitchHunt
-Missouri House of Representatives-
 #WeThePeople of #MISSOURI DEMAND that YOU STOP…</t>
  </si>
  <si>
    <t>RT @magathemaga1: Yo 
We looking for this guy #moleg ?
@EricGreitens @Eric_Schmitt @MOGOP_Chairman @MattStoneABC @ByronYork @DRUDGE @jros…</t>
  </si>
  <si>
    <t>RT @magathemaga1: @christoferguson The plot Thickens @MattStoneABC</t>
  </si>
  <si>
    <t>RT @christoferguson: Who didn’t have this list?: Greitens Attorney claims Charity donor list was used by anti-Greitens organization #Moleg…</t>
  </si>
  <si>
    <t>RT @magathemaga1: Hey @MattStoneABC this is Scott Faughn
This is the guy who dropped off the money and was evading s subpoena.
Investigat…</t>
  </si>
  <si>
    <t>RT @magathemaga1: Yo #MoLeg
How is it that U R going after @EricGreitens &amp;amp; can issue subpoenas but U can't issue subpoenas 4:
Scott Faugh…</t>
  </si>
  <si>
    <t>RT @Sticknstones4: @KRCG13 End these darn witch Hunts</t>
  </si>
  <si>
    <t>RT @KRCG13: Greitens campaign: Charity donor list of The Mission Continues was used by an anti-Greitens organization. #MoGov #moleg https:/…</t>
  </si>
  <si>
    <t>Missouri Crime Scene #moleg
#FightBackMO https://t.co/pz8NYuhP4g</t>
  </si>
  <si>
    <t>@CStamper_ #MoneybagAl is a slimy ass, isn't he
But that's his record https://t.co/9UKaKVsdBJ</t>
  </si>
  <si>
    <t>RT @RealTravisCook: From my Tuesday radio show--my reflections on the failed #WitchHunt against Governor #Greitens &amp;amp; what is says about the…</t>
  </si>
  <si>
    <t>RT @RealTravisCook: @1057thePoint The charges against Governor #Greitens have been dismissed, so why haven't you fired Phil Sneed for makin…</t>
  </si>
  <si>
    <t>RT @SorosInSTL: We don't care what you think.
IT IS A COUP
The girl made up the story.
All you politicos know this kitty girl slept arou…</t>
  </si>
  <si>
    <t>RT @magathemaga1: @BillEigel @willscharf @SheenaGreitens @TeamGreitens @TomJEstes @TrumpChess  @TxSecurityGal @Ijames2018 @chadler_usa @sma…</t>
  </si>
  <si>
    <t>RT @magathemaga1: @FN4AP @ohsynesthesia @SuchHate @Blackboxhalo @Koenig4MO @shesova @blackwidow07 @johncombest @joelpollak @BooneCoMOGOP @S…</t>
  </si>
  <si>
    <t>RT @magathemaga1: The mistake #MoLeg is making is that this is all going to die and goes away should #greitens be impeached.
You thought w…</t>
  </si>
  <si>
    <t>RT @magathemaga1: FOLLOW THE MONEY @MattStoneABC 
#moleg #mogov #greitens #missouri #stlouis #stl https://t.co/GjGo758vJV</t>
  </si>
  <si>
    <t>RT @magathemaga1: So who is the guy behind the money bags?
Jeff Smith, John Brunner — somebody else?
Funny how those pushing this coup th…</t>
  </si>
  <si>
    <t>RT @magathemaga1: Al Watkins says he got money cuz supposed 2 help with "fallout" of release. Why would anybody care if PS hurt financially…</t>
  </si>
  <si>
    <t>RT @magathemaga1: @JW1057 @rxpatrick @joelcurrier @ws_missouri See my thread @ChrisHayesTV @MattStoneABC @DRUDGE
Check out @magathemaga1’s…</t>
  </si>
  <si>
    <t>RT @JW1057: @rxpatrick @joelcurrier @ws_missouri Interesting that Watkins claims to have received cash on 1/8/18. That is the very same day…</t>
  </si>
  <si>
    <t>RT @Mo_Soy: The #biodiesel funds are released, the debt is paid, says @GovGreitensMO. Missouri #farmers stood up an industry for the clean,…</t>
  </si>
  <si>
    <t>@HennessySTL Signed up, we are planning to travel to JC on Friday. We want to be in the fraudulent meeting to expose the fraudulent committee. Would be nice to join together.</t>
  </si>
  <si>
    <t>@JW1057 @RealJamesWoods @seanhannity @RoyBlunt @MarkReardonKMOX @GovGreitensMO Signed!</t>
  </si>
  <si>
    <t>RT @JW1057: @RealJamesWoods @seanhannity @RoyBlunt @MarkReardonKMOX 
Please sign and ask your followers to do so as well. This is baseless…</t>
  </si>
  <si>
    <t>RT @Str8DonLemon: @MOHouseGOP @MissouriGOP @StLCountyRepub @BooneCoMOGOP @SuperDriver318 @TomJEstes @CStamper_ @SpeakerTimJones @MOGOP_Chai…</t>
  </si>
  <si>
    <t>RT @Str8DonLemon: @EricGreitens "Forgotten Man" speech.
What's great about this speech besides it being moving is he calls out why #MoLeg…</t>
  </si>
  <si>
    <t>RT @JW1057: @MissouriGOP 
Please sign and ask your followers to do so as well. This is baseless attack upon @GovGreitensMO  and we must fi…</t>
  </si>
  <si>
    <t>@magathemaga1 @MissouriGOP @GovGreitensMO Done!</t>
  </si>
  <si>
    <t>RT @magathemaga1: @MissouriGOP 
Sign &amp;amp; ask your followers to do so as well. This is baseless attack upon @GovGreitensMO and we must fight…</t>
  </si>
  <si>
    <t>RT @CStamper_: A Soros-backed prosecutor tried to put him in jail. Special interests, self-interested politicians &amp;amp; the liberal media are t…</t>
  </si>
  <si>
    <t>@RightRachel @mikeparson @jaybarnes5 If you don't educate yourself like we have you don't deserve the freedom that you currently have. Guess who is silly then!</t>
  </si>
  <si>
    <t>@RightRachel You call this silly:
@mikeparson 
@jaybarnes5 
lining their pockets w your/our taxpayers $$ &amp;amp; and then go after our legally elect. Gov. with false/illegal claims to force their golden goose back into the system? 
https://t.co/Ojkc1K6dFC</t>
  </si>
  <si>
    <t>@RightRachel You call this silly:
The Missouri Crime Scene
@mikeparson 
@jaybarnes5 
lining their pockets w your/our taxpayer money &amp;amp; than go after the Governor with false/criminal indictments, lying to ALL MO constituents 2force their golden goose back into system?
https://t.co/Ojkc1K6dFC</t>
  </si>
  <si>
    <t>@RightRachel You call this silly
The Missouri Crime Scene
https://t.co/lXqRu4qSsb https://t.co/nmP4U86nJy</t>
  </si>
  <si>
    <t>@RightRachel You call this silly
The Missouri Crimes
Revealing article about the witch hunt against Gov. Greitens and the corrupt #MOSenate
https://t.co/XvolVfhvIL</t>
  </si>
  <si>
    <t>@RightRachel Very silly on your part: 
A-this is a direct attack on a legal election aka ELECTION RIGGING 
B-an attack on Due Process law &amp;amp; order aka IT CAN HIT YOU NEXT
C-corrupt #moleg hiding their fraud on taxpayers &amp;amp; YOU ARE OK WITH THAT
D-calling 100Ks educated citizens silly is 🤪</t>
  </si>
  <si>
    <t>RT @sigi_hill: @magathemaga1 Because the impeachment committee controls the #MediaMob
Todd Richardson @Rep_TRichardson
Jay Barnes @jaybarne…</t>
  </si>
  <si>
    <t>@magathemaga1 Because the impeachment committee controls the #MediaMob
Todd Richardson @Rep_TRichardson
Jay Barnes @jaybarnes5
Jeanie Lauer @jeanielauer
Kevin Austin @KevinLAustin1
Shawn Rhoads @shawnrhoads154
Gina Mitten @gcmitts  
Tommie Pierson @TommiePierson</t>
  </si>
  <si>
    <t>RT @YearOfZero: 7. “When I Look to my left, I see you.... when I look to my right, I see your friends and family...”
This is why @EricGrei…</t>
  </si>
  <si>
    <t>RT @YearOfZero: 4. Eric #Greitens calls out the people behind the #Missouri COUP
Yes we know this is about your toys and tax credits!
@Er…</t>
  </si>
  <si>
    <t>RT @YearOfZero: 3. 113 K regulations and 33 thousand cut after review.
@EricGreitens cut the bs and got government out of people’s way.
#…</t>
  </si>
  <si>
    <t>RT @YearOfZero: 2. For too long, rural #Missouri had been forgotten...
@TeamGreitens @MissouriGOP 
#moleg #mogov #greitens https://t.co/f…</t>
  </si>
  <si>
    <t>RT @YearOfZero: 8. Please sign petition
Outlines point by point breakdown of why this is a total witch hunt &amp;amp; a coup
I encourage you to r…</t>
  </si>
  <si>
    <t>@YearOfZero @EricGreitens Done!</t>
  </si>
  <si>
    <t>Well well well
@mikeparson 
@jaybarnes5 
🚨Why don't you show us your donorlists &amp;amp; your pockets full of LIHTC⁉️
And you thought you can cheat us Missourians out of our election❗️
Guess what, We Missourians will now make sure that you get indicted❗️
https://t.co/Ojkc1K6dFC</t>
  </si>
  <si>
    <t>More winning for Missouri with our brilliant Governor @EricGreitens https://t.co/S74KGCnIhr</t>
  </si>
  <si>
    <t>RT @uriah_stark: If the Republican primary for Missouri State Auditor were held today, who would you vote for?</t>
  </si>
  <si>
    <t>@Neilin1Neil @blackwidow07 @ResignNowKim @TrumpChess @EricGreitens @RealTravisCook @YearOfZero @Sticknstones4 @KathieConway @inthejungle234 @Norasmith1000 @liberty1776son @VisioDeiFromLA @DeplorableGoldn @Boothe08887997 @JW1057 @edemery @jallman971 @Henryhahadavis @pahubb43 @EdBigCon @HennessySTL @RiverfrontTimes @SKOLBLUE1 @Avenge_mypeople @kmoxnews I am listening....</t>
  </si>
  <si>
    <t>RT @blackwidow07: @Sticknstones4 @EdBigCon @ResignNowKim @Neilin1Neil @EricGreitens @RealTravisCook @YearOfZero @KathieConway @inthejungle2…</t>
  </si>
  <si>
    <t>RT @RealTravisCook: Time to go on the offensive, people!  #Greitens #Missouri #WitchHunt https://t.co/EYczONZJYG</t>
  </si>
  <si>
    <t>RT @Sticknstones4: @YearOfZero @BobOnderMO @EricGreitens @KevinCorlew @BooneCoMOGOP @paulcurtman Jeff smith llc
Sterling bank 
Lathrop &amp;amp; Ga…</t>
  </si>
  <si>
    <t>RT @HennessySTL: Be the Pollster! Poll your Missouri State Rep. Record Results Here. "Impeachment, Yay or Nay?"
→ https://t.co/zNqPo8Rp20…</t>
  </si>
  <si>
    <t>@J_Hancock @EricGreitens That's gonna freak out th crooked corrupt #moleg 'impeachment team', 2 sharp lawyers exposing their dirty games wide open🤥! Calling them out on their crimes😮! Watch them weasel out of the process bc they can't afford to be publicly accused of abuse of power #ProsecuteMoSen</t>
  </si>
  <si>
    <t>RT @J_Hancock: . @EricGreitens’ impeachment team says alleged victim should testify in open, face cross-examination https://t.co/9AHWTd4qZO…</t>
  </si>
  <si>
    <t>@Str8DonLemon @STLCountyGOP @TessonFerryGOP @PlatteCountyGOP @MOHouseGOP @MissouriGOP @WashCoMOGOP @MoGOP19 @mogop_jasper @MOGOP_Chairman Missouri Crimes
Revealing article about the witch hunt against Gov. Greitens and the corrupt #MOSenate
https://t.co/XvolVeZUkb</t>
  </si>
  <si>
    <t>RT @Str8DonLemon: Yo #MoLeg
I see you still got ur witch hunt going!
Remember, there would be no second indictment without the first indi…</t>
  </si>
  <si>
    <t>@YearOfZero @jaybarnes5 @BooneCoMOGOP @EricGreitens @MissouriGOP @BillEigel @BobOnderMO @BryanSpencer25 Missouri Crimes
Revealing article about the witch hunt against Gov. Greitens and the corrupt #MOSenate
https://t.co/XvolVeZUkb</t>
  </si>
  <si>
    <t>RT @YearOfZero: Hey @jaybarnes5 
Your committe is a sham as we all have been saying the whole time.
I hope members of the house aren’t st…</t>
  </si>
  <si>
    <t>@philip_saulter @StateHouseRock @stltoday Todd Richardson @Rep_TRichardson
Jay Barnes @jaybarnes5
Jeanie Lauer @jeanielauer
Kevin Austin @KevinLAustin1
Shawn Rhoads @shawnrhoads154
Gina Mitten @gcmitts  
Tommie Pierson @TommiePierson  
They all need to be exposed for their corruption</t>
  </si>
  <si>
    <t>The impeachment committee:
Todd Richardson @Rep_TRichardson
Jay Barnes @jaybarnes5
Jeanie Lauer @jeanielauer
Kevin Austin @KevinLAustin1
Shawn Rhoads @shawnrhoads154
Gina Mitten @gcmitts  
Tommie Pierson @TommiePierson  
PUBLISH YOUR DONOR RECORDS INCL.YOUR INVOLVEMENT IN LIHTC! https://t.co/gtVwno48Ph</t>
  </si>
  <si>
    <t>#MoLeg #mogov #MOSEN @MOHouseGOP
WE THE PEOPLE ARE WATCHING AND TAKING NAMES
WE WILL NOT RE-ELECT YOU AND WE WILL TELL THE TRUTH ABOUT YOUR CRIMES 
YOU DO NOT DESERVE MORE CAREERS ON TAXPAYERS POCKETS
#StopTheCoupNOW 
#IStandWithGreitens https://t.co/9rUtYeECMS</t>
  </si>
  <si>
    <t>@Str8DonLemon @MOHouseGOP That's how I feel. THEY are so dumb that THEY have not caught up yet how SoMe works just like the paparazzi with their fake polls. 
We need to hammer on that to teach them a lesson.</t>
  </si>
  <si>
    <t>@YearOfZero @BobOnderMO @EricGreitens @KevinCorlew @BooneCoMOGOP @paulcurtman I heard today about this guy being the 'Skyler' https://t.co/NyxpNbr2qE</t>
  </si>
  <si>
    <t>@ResignNowKim @HotPokerPrinces Only to throw more kitchen sinks...
They are total crookjs and idiots. They don't realize we found all of this out and hold it</t>
  </si>
  <si>
    <t>RT @ResignNowKim: @HotPokerPrinces Not uncommon to charge $300/ hr with 15 yrs experience. In many larger stl mo firms, 7-10 years.  At 30…</t>
  </si>
  <si>
    <t>RT @PoliticalShort: Armed School Resource Officer Stops Student With Gun In Illinois. https://t.co/qggy4v4JrI</t>
  </si>
  <si>
    <t>@M0L0NL4BE @DineshDSouza 😂😂😂</t>
  </si>
  <si>
    <t>RT @M0L0NL4BE: @DineshDSouza She lives in the Left Bank, so… https://t.co/rXy2vB7UcA</t>
  </si>
  <si>
    <t>RT @DineshDSouza: This bimbo doesn’t know it’s the West Bank. The Left Bank is in Paris https://t.co/cxBt5SKgkn</t>
  </si>
  <si>
    <t>RT @charliekirk11: Trump will be the first President in history to have his net worth go down during the course of his candidacy and Presid…</t>
  </si>
  <si>
    <t>RT @dbongino: Dear Media Hacks,
Hamas = Terrorists 
It’s not difficult. Thanks.</t>
  </si>
  <si>
    <t>@RealTravisCook It's either the typical fearmongering of the mediamob or rocket man wants just some publicity to hide His fear of 'TheDonald'</t>
  </si>
  <si>
    <t>RT @StephenMilIer: Kim Jong-un would be wise not to piss off the US delegation coming with Air Force One, because he sure does not want to…</t>
  </si>
  <si>
    <t>RT @JacobAWohl: BREAKING: New leaks reveal that Jim Comey sent Peter Strzok to London 90 days before the election, under the mission codena…</t>
  </si>
  <si>
    <t>RT @1776Stonewall: The left has clearly taken the side of the Palestines and Hamas, not to mention what Obama did against Israel for 8 year…</t>
  </si>
  <si>
    <t>RT @realDonaldTrump: House votes today on Choice/MISSION Act. Who will stand with our Great Vets, caregivers, and Veterans Service Organiza…</t>
  </si>
  <si>
    <t>RT @Education4Libs: So let me get this straight.
Liberals will claim Russian collusion over Trump Jr. meeting with a lawyer to get dirt on…</t>
  </si>
  <si>
    <t>RT @ResignNowKim: @MSTLGA Yeah: where is @nicolergalloway ‘s audit of the #TaxCreditQueen rip off of Missouri taxpayers? ($600M annual)And…</t>
  </si>
  <si>
    <t>RT @MSTLGA: Where can i find the auditors report on the Low Income Housing Tax Creidts ? 
Why did #Moleg allow years of inefficiency &amp;amp; abu…</t>
  </si>
  <si>
    <t>Springfield MO area, this evening in Branson:
Meet Courtland Sykes for US Senate in person
Get rid of Clair McCaskill 
Request swamp creature @AGJoshHawley #Resign from both MO AG as well as from the US Senate race #JoshHawleyResign 
https://t.co/kZUHtXSHVX</t>
  </si>
  <si>
    <t>RT @RealTravisCook: Yep, a beta male, emo rocker who couldn't handle the fact that his wife cheated on him with a Navy Seal who's career wa…</t>
  </si>
  <si>
    <t>RT @BackThePolice: K9 Benco from .@PascoSheriff https://t.co/BhxYfOi8zl</t>
  </si>
  <si>
    <t>RT @charliekirk11: Trump accomplished more this week than Obama did in 8 years 
3.9% unemployment 
Captured top 5 ISIS leaders 
North Ko…</t>
  </si>
  <si>
    <t>RT @mdubowitz: So remind me again: Given the choice btw trading with the U.S. or trading with Iran, who will the EU choose? https://t.co/2w…</t>
  </si>
  <si>
    <t>RT @DRUDGE_REPORT: 'Thank You President Trump' on Walls of Jerusalem on Eve of Embassy Move... https://t.co/oRr67kYTv0</t>
  </si>
  <si>
    <t>RT @DonaldJTrumpJr: It’s weird how that works huh? 
Hard to believe their policies if oppressive taxation &amp;amp; regulation weren’t working... I…</t>
  </si>
  <si>
    <t>RT @Farberyanki: A miracle in Gaza. The man with the crutches suddenly started running https://t.co/53l5bb3zV1</t>
  </si>
  <si>
    <t>RT @AriFleischer: The media always falls for it. https://t.co/vLV3h3yARq</t>
  </si>
  <si>
    <t>RT @Surabees: Well looks like @RichardGrenell is having quite the effect in Germany. This is what happens when you have members of the Trum…</t>
  </si>
  <si>
    <t>RT @TrumpDC: Attention All First Responders - Stop by Penn Ave. this morning for a donut from @donut_boy07! #PoliceWeek2018 #PoliceWeek @DC…</t>
  </si>
  <si>
    <t>RT @Trump: .@DonaldJTrumpJr and daughter, Kai, stop by The Trump Building at #40WallStreet to observe the lower level vaults originally bui…</t>
  </si>
  <si>
    <t>RT @RealCandaceO: So @buzzfeed has spent the last week attempting to threaten current college students that I used to work with into giving…</t>
  </si>
  <si>
    <t>RT @GOPLeader: Thanks @NancyPelosi for endorsing the #TaxCutsandJobsAct! cc: @POTUS #MAGA 🇺🇸 https://t.co/i6142k3E9W</t>
  </si>
  <si>
    <t>RT @RealCandaceO: For the record @BuzzFeed, you do not scare me. I will not submit to your version of what I should be as a black woman in…</t>
  </si>
  <si>
    <t>RT @DonaldJTrumpJr: Oh no please not that! Anything but that! 😂
How about as any part of any new deal we require them to do that???
OH BO…</t>
  </si>
  <si>
    <t>@Bakari_Sellers The racism today only exists because of racists like you bc you are too dumb to separate yourself from your communist handler #ConmanObama</t>
  </si>
  <si>
    <t>RT @KatrinaPierson: Or, maybe she's just the mother of a fallen police officer who is grateful to have a President who finally gives law en…</t>
  </si>
  <si>
    <t>RT @peplamb: @realDonaldTrump #GOD protect our #Nation #FollowJesus 🙏❤️🌹 #OneNationUnderGOD https://t.co/DJ8wpA51gJ</t>
  </si>
  <si>
    <t>RT @realDonaldTrump: ...haven’t even started yet! The U.S. has very little to give, because it has given so much over the years. China has…</t>
  </si>
  <si>
    <t>RT @realDonaldTrump: ...We have not seen China’s demands yet, which should be few in that previous U.S. Administrations have done so poorly…</t>
  </si>
  <si>
    <t>RT @realDonaldTrump: The Washington Post and CNN have typically written false stories about our trade negotiations with China. Nothing has…</t>
  </si>
  <si>
    <t>RT @realDonaldTrump: Congratulations to Deb Fischer. The people of Nebraska have seen what a great job she is doing - and it showed up at t…</t>
  </si>
  <si>
    <t>RT @realDonaldTrump: Thank you to the Washington Examiner and @CortesSteve on the great article - on WINNING! https://t.co/b5dfUABN5q</t>
  </si>
  <si>
    <t>RT @JacobAWohl: Democrats are actually running for office on RAISING your taxes! In what universe do they think that's going to work?</t>
  </si>
  <si>
    <t>RT @RealJack: Incredible leadership!
United States optimism just hit an ELEVEN year high with 57 percent of people supporting the directio…</t>
  </si>
  <si>
    <t>RT @DonaldJTrumpJr: So incredible to see @realdonaldtrump support law… https://t.co/FHMJOZVnZx</t>
  </si>
  <si>
    <t>RT @dbongino: Why is Susan Collins supporting government controlled internet?</t>
  </si>
  <si>
    <t>RT @DonaldJTrumpJr: This is who @realdonaldtrump really is. A leader, caring, loving, and a President for ALL Americans. Love seeing this.…</t>
  </si>
  <si>
    <t>RT @1776Stonewall: Senate Intel committee confirms Gina Haspel. Full Senate vote later this week, which she a has the votes to pass</t>
  </si>
  <si>
    <t>RT @NameRedacted7: Aw poor @twitter &amp;amp; @twittersupport &amp;amp; @twittersafety so scared of thought that they don't agree with.... censorship is we…</t>
  </si>
  <si>
    <t>RT @DineshDSouza: Is Mueller investigating a crime or going in search of a crime? One is police work; the other is characteristic of a poli…</t>
  </si>
  <si>
    <t>RT @charliekirk11: If a Democrat president would would have moved the embassy to Jerusalem every single Jewish liberal would be dancing in…</t>
  </si>
  <si>
    <t>RT @BackTheCops: I need this sign! https://t.co/4d30bLjh4e</t>
  </si>
  <si>
    <t>RT @realDonaldTrump: Congratulations to Lou Barletta of Pennsylvania. He will be a great Senator and will represent his people well - like…</t>
  </si>
  <si>
    <t>RT @Education4Libs: Seattle has decided to raise taxes on its city's businesses in order to pay for "homeless services."
Companies will no…</t>
  </si>
  <si>
    <t>RT @KRCG13: BREAKING NEWS: Greitens attorney to file police report regarding alleged perjury against William Tisaby, the lead investigator…</t>
  </si>
  <si>
    <t>RT @CStamper_: As if having her witch hunt dismissed yesterday weren’t bad enough for Soros-backed prosecutor Kim Gardner, now a police rep…</t>
  </si>
  <si>
    <t>RT @Gruntgrunt3: @EricGreitens Missouri has a witch hunt against Gov. Greiten. Hang tough governor. We have your back.</t>
  </si>
  <si>
    <t>RT @EricGreitens: Today is #PeaceOfficersMemorialDay, a day to remember the fallen heroes who gave their lives in pursuit of justice and pe…</t>
  </si>
  <si>
    <t>RT @CStamper_: More bad news for Soros-backed prosecutor Kim Gardner &amp;amp; her handpicked investigator Tisaby: Tisaby is now under investigatio…</t>
  </si>
  <si>
    <t>RT @Sticknstones4: Audit Scott Faughn &amp;amp; Missouri Times
Where did the Cash Come From 
@nicolergalloway @MissouriRevenue https://t.co/gug39…</t>
  </si>
  <si>
    <t>RT @SykesforSenate: Do we have an explanation from @clairecmc why she's a "no" vote?
#mosen https://t.co/CzNSqGSdBA</t>
  </si>
  <si>
    <t>RT @Neilin1Neil: @RightRachel Do you not understand that this impeachment process is nothing but a Kangaroo Court? #MoLeg wants to lynch Gr…</t>
  </si>
  <si>
    <t>RT @Neilin1Neil: @YearOfZero The lawyers the #MoLeg hired to speak for the yellow bellied lynch mob leader of the Kangaroo Impeachment Sess…</t>
  </si>
  <si>
    <t>RT @HennessySTL: Now we’re talkin’ https://t.co/m8PLadrMU8</t>
  </si>
  <si>
    <t>RT @YearOfZero: This is a good thread on what to do to stop THE COUP against #Missouri voters
#moleg #mogov #greitens @MissouriGOP @TeamGr…</t>
  </si>
  <si>
    <t>RT @mflynnJR: "This is without a doubt the greatest political scandal in American history," diGenova said. https://t.co/46VPS2wkNy</t>
  </si>
  <si>
    <t>RT @VisioDeiFromLA: Who paid Scott Faughn the money to pay Al Watkins.
We havent forgotten and the issue wont go away.
Guys like Scott Ch…</t>
  </si>
  <si>
    <t>RT @Thomas1774Paine: BREAKING: Gen. Flynn Signed Guilty Plea After Mueller Threatened His Family, Son; Thug Tactics Coerced Plea Deal https…</t>
  </si>
  <si>
    <t>RT @MarkReardonKMOX: How ironic considering Gardner LIED about @SLMPD "refusing" to investigate the case. They didn't investigate because t…</t>
  </si>
  <si>
    <t>RT @MarkReardonKMOX: Has ONE elected official in St. Louis called for Kim Gardner's resignation for her incompetence? If she was a Republic…</t>
  </si>
  <si>
    <t>Woah, @stlcao @KimGardner77th sound as psychopathic as Killary
#ProsecuteKimGardnerStLCA
Aldermen plan to grill Circuit Attorney over cost of the Greitens' trial https://t.co/GtH6i3eJxo via @fox2now</t>
  </si>
  <si>
    <t>RT @StephenMilIer: Trump's 'secret weapon' to win elections is to be honest with the American people. It works, democrats should try it.</t>
  </si>
  <si>
    <t>RT @Sticknstones4: NATE WALKER 
RESPECT MY VOTE  CEASE IMPEACHMENT 
 #moleg #greitens https://t.co/ES2pDZaSX6</t>
  </si>
  <si>
    <t>RT @GregAbbott_TX: Another Indictment Against Vote Fraud in Texas. A citizen of Mexico used the name of a Texas woman to illegally vote in…</t>
  </si>
  <si>
    <t>RT @dbongino: When you bring bombs to a “protest” it stops being a protest. 
#Hamas</t>
  </si>
  <si>
    <t>RT @AfD: ++ 📊 Umfrage: Die Bürger lehnen den Islam mehrheitlich ab, Herr Laschet! ++
Die 🇩🇪 sind sich also einig: Derweil weiht Der Ministe…</t>
  </si>
  <si>
    <t>RT @charliekirk11: The FBI spied on the Trump campaign 
Did Obama know? Did Obama give the order? 
A full investigation is needed, now</t>
  </si>
  <si>
    <t>RT @BackTheCops: God bless our ladies in blue! https://t.co/iFMmmOUkXX</t>
  </si>
  <si>
    <t>RT @RSF_LAW: Scott Rosenblum discusses some of the various issues Governor Greitens’ defense team encountered over the past several months.…</t>
  </si>
  <si>
    <t>#FIREMueller https://t.co/p68nNkxwLL</t>
  </si>
  <si>
    <t>RT @AriFleischer: No violence in the West Bank. No violence in Jordan. No protests in the Arab Street. Only Hamas.  Only a terrorist group…</t>
  </si>
  <si>
    <t>RT @CStamper_: Soros-backed Kim Gardner handpicked an investigator who repeatedly committed perjury, hid evidence, and created false eviden…</t>
  </si>
  <si>
    <t>RT @BryanLowry3: BREAKING: St. Louis Metro Police now confirms it will investigate the alleged perjury by private investigator following me…</t>
  </si>
  <si>
    <t>RT @DonaldJTrumpJr: Just when you think the media can’t go any lower, I give you the cover of today’s Daily News...
Also, I’d like to than…</t>
  </si>
  <si>
    <t>RT @RealJack: Will media as outraged over the black man who was berated by employees at Cheesecake Factory like they were over the Starbuck…</t>
  </si>
  <si>
    <t>RT @Techno_Fog: Tom Cotton: "Do you know if Christopher Steele worked for Oleg Deripaska?"
Director Wray: "That's not something I can answ…</t>
  </si>
  <si>
    <t>RT @VisioDeiFromLA: Have been  wondering @Eric_Schmitt 
Do you stand with then people and against depriving them of their vote, or with pe…</t>
  </si>
  <si>
    <t>RT @girl4_trump: This Fossil has more heroin running through his veins than blood. Worry more about the Caliphate your countries become tha…</t>
  </si>
  <si>
    <t>RT @realDonaldTrump: #PeaceOfficersMemorialDay https://t.co/agxulpPyag</t>
  </si>
  <si>
    <t>RT @NameRedacted7: Aw, poor @twitter is afraid our information will get out. Tsk tsk. Censorship is a sign of weakness, not strength. @twit…</t>
  </si>
  <si>
    <t>RT @BackThePolice: Thanks for your sacrifice!!! https://t.co/qD909ch5JM</t>
  </si>
  <si>
    <t>RT @GovMikeHuckabee: Attempts by MSM to link the tragic Gaza deaths to Embassy move are absurd.  Ppl in poverty exploited b/c Hamas takes $…</t>
  </si>
  <si>
    <t>RT @OfficeOfMike: BREAKING: Ambassador Nikki Haley walks out of UN session on Gaza as PA envoy starts to speak.</t>
  </si>
  <si>
    <t>RT @Sticknstones4: Wonderful ! Lock her &amp;amp; Tisaby Up
No playing the victim card either Kimmy!
you abused your power &amp;amp; duty for politics ,…</t>
  </si>
  <si>
    <t>RT @Lrihendry: I’m calling for the deportation of Maxine Waters bc we don’t like her. 
All in favor RT!</t>
  </si>
  <si>
    <t>RT @1776Stonewall: Donald Trump calls for the death penalty to anyone who kills a cop. Good to have a president who stands up for police in…</t>
  </si>
  <si>
    <t>RT @RealTravisCook: Going up on https://t.co/LqVNagt9Kx discussing #Kimgardner's debacle with Governor #Greitens, as well as the disturbing…</t>
  </si>
  <si>
    <t>RT @Education4Libs: A black man was threatened by employees at a Cheesecake Factory in Miami for wearing a MAGA hat.
So when will the Chee…</t>
  </si>
  <si>
    <t>RT @RepMarkMeadows: Director, what exactly is a sovereign nation supposed to do when their borders are attacked? Israel has the right to de…</t>
  </si>
  <si>
    <t>RT @charliekirk11: Illegals should not be allowed or granted any form of government benefits 
If you want to break our immigration laws th…</t>
  </si>
  <si>
    <t>RT @seanhannity: no credible evidence https://t.co/ZAzetZV7kG</t>
  </si>
  <si>
    <t>@BryanLowry3 Only more confirmation of @stlcao @KimGardner is a #FRAUD and must be prosecuted and disbarred for her malfeasance and misconduct, abuse of power and all the other shit that she is committing.</t>
  </si>
  <si>
    <t>#MissouriCrimeScene
@seanhannity @rushlimbaugh  @BrentBozell @TuckerCarlson  @SaraCarterDC</t>
  </si>
  <si>
    <t>Smells like #Fraud to me, #LewisAndClarkRealEstate the money laundering pad for #moleg #LIHTC? Could that be the reason why those #MOSenators at still pursuing to get rid of Governor @EricGreitens. The #MOSewer Stinks to high heaven.
#Investigate #MOSen
https://t.co/lXqRu4ItjJ https://t.co/eq5liQqm1k</t>
  </si>
  <si>
    <t>@Shawtypepelina @MissouriGOP @MoDemParty Smells like #Fraud to me, #LewisAndClarkRealEstate the money laundering pad for #moleg? Could that be the reason why those #MOSenators at still pursuing to get rid of Governor @EricGreitens. The #MOSewer Stinks to high heaven. https://t.co/zprAlERXSx</t>
  </si>
  <si>
    <t>@Shawtypepelina @MissouriGOP @MoDemParty Teamwork: piece by piece the truth will come out and the corrupt players will be revealed publically. Next they need to be prosecuted for their crimes. #moleg #mogov #StaceyNewman #KimGardner #MoneyBagsAl #LIHTC  #ToddRichardson #JayBarnes #MikeKehoe et al</t>
  </si>
  <si>
    <t>@sweetatertot2 DemocRATs have been insidious criminals all of history #KKK and more</t>
  </si>
  <si>
    <t>RT @sweetatertot2: #Greitens was another victim of a political witch hunt. Democrats no longer believe in the Democratic process, they now…</t>
  </si>
  <si>
    <t>RT @CStamper_: Yesterday we witnessed a political witch hunt designed to force a conservative out of office collapse. Accusations and media…</t>
  </si>
  <si>
    <t>RT @VisioDeiFromLA: Greg you slandered a guy on fake chages which you very well know are fake.
The GOP deserves to be voted out. 
Maybe w…</t>
  </si>
  <si>
    <t>RT @VisioDeiFromLA: @timremole Do you plan on screwing over #Missouri Voters?
Because if u vote 2 impeach @EricGreitens U are screwing ove…</t>
  </si>
  <si>
    <t>@RenaeAngelia @Bud_Doggin @NameRedacted7 You don't know what you are talking about.  #Mediamob suppresses the findings on 'KS' aka #KatrinaKittyAnneSneed's phone about her communication with democRAT MO Rep @staceynewman revealing the coersion to a crime by #molegislator #GreitensWitchHunt
https://t.co/WViONdVtOh</t>
  </si>
  <si>
    <t>RT @Hope4Hopeless1: @RenaeAngelia @Bud_Doggin @NameRedacted7 KITTY SNEED &amp;amp; ALL the rest of THE FILTHY TRASH in #MoGov #MOLEG .@StaceyNewman…</t>
  </si>
  <si>
    <t>RT @YearOfZero: @VisioDeiFromLA @BeckyRuth114 @parscale @larryelder @Neilin1Neil @HennessySTL @Shawtypepelina @Avenge_mypeople @SKOLBLUE1 @…</t>
  </si>
  <si>
    <t>RT @VisioDeiFromLA: (6) Next on Deck
Becky Ruth
Will she screw over #Missouri Voters by impeaching?
Call her up, email her &amp;amp; tweet her a…</t>
  </si>
  <si>
    <t>RT @VisioDeiFromLA: (5) Next on Deck
Bill Eigel 
Will he screw over #Missouri Voters by impeaching?
Call him up, email him and tweet him…</t>
  </si>
  <si>
    <t>RT @VisioDeiFromLA: (4) Next on Deck
Tim Remole 
Will he screw over #Missouri Voters by impeaching?
Call him up, email him and tweet him…</t>
  </si>
  <si>
    <t>RT @VisioDeiFromLA: (3) Next on Deck
Nate Walker 
Will he screw over #Missouri Voters by impeaching?
Call him up or email him and ask hi…</t>
  </si>
  <si>
    <t>RT @SarahHuckabee: So fun meeting @RobLowe. Incredibly talented, funny, and very nice guy. Thanks for entertaining us all these years! http…</t>
  </si>
  <si>
    <t>RT @IvankaTrump: I am honored to join the delegation representing @POTUS, his Admin &amp;amp; the American people at this momentous ceremony commem…</t>
  </si>
  <si>
    <t>RT @FoxNewsSunday: In his first interview since returning from North Korea, @SecPompeo tells Chris Kim Jong-un "does follow the Western pre…</t>
  </si>
  <si>
    <t>RT @FoxNews: Jared Kushner: “When President Trump makes a promise, he keeps it.” https://t.co/VoMTeuYXHK</t>
  </si>
  <si>
    <t>RT @FoxNews: Jared Kushner: “I am so proud to be here today in Jerusalem, the eternal heart of the Jewish people and I am especially honore…</t>
  </si>
  <si>
    <t>RT @PressSec: Proud my parents are at the Embassy opening today. Great moment for @POTUS and all of history. https://t.co/dbskbdfLGA</t>
  </si>
  <si>
    <t>RT @usembassyjlm: ראש הממשלה נתניהו ורעייתו מארח את חברי המשלחת הנשיאותית לארוחת ערב במעונו בירושלים, 13 במאי, 2018. https://t.co/HQqb6ll5BF</t>
  </si>
  <si>
    <t>RT @usembassyjlm: Almost ready for this historic event. LIVE here on our Twitter, starting at 15:30. #USEmbassyJerusalem
רגע לפני הארוע הג…</t>
  </si>
  <si>
    <t>RT @SecPompeo: Last December, @POTUS acknowledged Israel’s capital is Jerusalem. He directed @StateDept to move our embassy to Jerusalem as…</t>
  </si>
  <si>
    <t>RT @USAmbIsrael: The United States Embassy in Jerusalem, Israel is now open, Thank God. I am so honored to have executed the direction and…</t>
  </si>
  <si>
    <t>RT @WhiteHouse: On behalf of all White House Staff, we are thankful for @FLOTUS' successful procedure and wish her a swift recovery.</t>
  </si>
  <si>
    <t>RT @realDonaldTrump: Big day for Israel. Congratulations!</t>
  </si>
  <si>
    <t>RT @realDonaldTrump: #USEmbassyJerusalem https://t.co/f1SFvrkcAH</t>
  </si>
  <si>
    <t>RT @realDonaldTrump: ZTE, the large Chinese phone company, buys a big percentage of individual parts from U.S. companies. This is also refl…</t>
  </si>
  <si>
    <t>RT @realDonaldTrump: The so-called leaks coming out of the White House are a massive over  exaggeration put out by the Fake News Media in o…</t>
  </si>
  <si>
    <t>RT @realDonaldTrump: Heading over to Walter Reed Medical Center to see our great First Lady, Melania. Successful procedure, she is in good…</t>
  </si>
  <si>
    <t>RT @Scavino45: “Trump is putting the US back on top” https://t.co/tnYo2EAd2T</t>
  </si>
  <si>
    <t>RT @Scavino45: “Job openings hit record high of 6.6 million” https://t.co/BwDsLU6T4l</t>
  </si>
  <si>
    <t>RT @realDonaldTrump: Can you believe that with all of the made up, unsourced stories I get from the Fake News Media, together with the  $10…</t>
  </si>
  <si>
    <t>RT @realDonaldTrump: Our great First Lady is doing really well. Will be leaving hospital in 2 or 3 days. Thank you for so much love and sup…</t>
  </si>
  <si>
    <t>@Avenge_mypeople @EricGreitens It appears like #moleg Rep @staceynewman is a #StateTerrorist. #GreitensWitchHunt is not over. #InsidiousStaceyNewman #mogov #KimShady MUST BE INVESTIGATED</t>
  </si>
  <si>
    <t>RT @Avenge_mypeople: 2) @EricGreitens plan to put a stop to it is what stirred up this hornets nest of vipers. Even though the corrupt #Kim…</t>
  </si>
  <si>
    <t>RT @Avenge_mypeople: There is some seriously underhanded, dirty politics in Missouri. Behind it all- the attempted prosecution of the gover…</t>
  </si>
  <si>
    <t>RT @OliverMcGee: A movement is coming and fast. Long time registered Democrats are seeing what their party is all about.
The Democratic Pa…</t>
  </si>
  <si>
    <t>RT @BackThePolice: Good morning! 💙 https://t.co/kGhi74Sz3K</t>
  </si>
  <si>
    <t>RT @SaraCarterDC: This could get very interesting... https://t.co/bJ7bnMIXBK</t>
  </si>
  <si>
    <t>RT @Str8DonLemon: #MoLeg 
Food 4 thought
There would be no special committee if no fake indictment
Think.
U dbags only formed special h…</t>
  </si>
  <si>
    <t>@JohnBrennan Out of the mouth of a terrorist that supports terrorists &amp;amp; now works for #CNN! How dare you treasonous domestic spying lying psychopath even speak up in public anymore? Can't wait for your dirty hands to be in cuffs and your ass in prison. #BrennanLyingUnderOath #FISA #Unmasking</t>
  </si>
  <si>
    <t>RT @keithntexas99: @YoBusiness1 @JohnBrennan @LindaKWS1 Let them start in Texas.  Please... https://t.co/QUszvhjUzW</t>
  </si>
  <si>
    <t>RT @RepLeeZeldin: Say it w me former CIA Director: H...A...M...A...S. Kids as human shields, $500 payments if successfully shot, guns to pp…</t>
  </si>
  <si>
    <t>RT @DiamondandSilk: It's going to be hard for Bernie Sanders to win back the people he lost. They will never forget how he went along with…</t>
  </si>
  <si>
    <t>RT @charliekirk11: All leakers should be fired immediately from the White House 
It is an honor and privilege to serve President @realDona…</t>
  </si>
  <si>
    <t>Exactly, terrorists inciting #terrorism in #Gaza to provoke Israel/USA. 
#Jerusalem #EmbassyMove https://t.co/WEGmGUN8V5</t>
  </si>
  <si>
    <t>RT @realDonaldTrump: Trade negotiations are continuing with China. They have been making hundreds of billions of dollars a year from the U.…</t>
  </si>
  <si>
    <t>RT @CStamper_: When Soros-backed prosecutor Kim Gardner found herself on the eve of trial with no witness and a slew of unethical and illeg…</t>
  </si>
  <si>
    <t>RT @Sticknstones4: We Paid For It 
Kim Gardner please Resign 
#stl #slcao #lydakrewson #stlboa https://t.co/mgitUXg3He</t>
  </si>
  <si>
    <t>RT @JackSuntrup: NEWS: Missouri Times kicked out of Capitol News Association after publisher's $50,000 payment to anti-Greitens lawyer http…</t>
  </si>
  <si>
    <t>RT @Sticknstones4: Hallelujah https://t.co/jQ6OMpakzV</t>
  </si>
  <si>
    <t>RT @Sticknstones4: That’s BULLSH*T 
KIM GARDNER MADE THIS MESS, SHE NEEDS TO MOP IT UP 
SHE WASTED HUNDREDS OFTHOUSANDS OF DOLLARS 
#gre…</t>
  </si>
  <si>
    <t>RT @EdBigCon: BREAKING! The entire case against @EricGreitens has been TOSSED!  #MOLEG #GreitensCriminalTrial</t>
  </si>
  <si>
    <t>RT @Sticknstones4: Governor Eric Greitens Press Conference after Felony Invasion of Privacy Case was dropped 
We Have a great Mission Befo…</t>
  </si>
  <si>
    <t>Our prayers were answered 
Now pray for the #MOSewer to be exposed and drained out https://t.co/rB8n7NoWmz</t>
  </si>
  <si>
    <t>RT @EricGreitens: We have a great mission before us. And at this time, I'd ask people of goodwill to come together so that we may continue…</t>
  </si>
  <si>
    <t>RT @CaseyNolen: Some of sealed transcripts could be unsealed now. “Potentially embarrassing” for @StLouisCityCA days #SLULAW Prof Ammann</t>
  </si>
  <si>
    <t>RT @tkinder: That #moleg doesn’t pause to reconsider impeachment in light of the case against Governor .@EricGreitens only demonstrates how…</t>
  </si>
  <si>
    <t>RT @SpeakerTimJones: Please keep trolling me. With every response I get to further expose the dark money @georgesoros funded leftwing liber…</t>
  </si>
  <si>
    <t>@JW1057</t>
  </si>
  <si>
    <t>RT @JW1057: @Allie_Kite When will she someone take action againt @LaurenTrager?</t>
  </si>
  <si>
    <t>RT @Allie_Kite: "Two of the basic standards of journalism require non-participation in the stories covered by a journalist and full, immedi…</t>
  </si>
  <si>
    <t>Ditto
#IStandWithGreitens
#moleg  #MoGov https://t.co/yKKZfVODhp</t>
  </si>
  <si>
    <t>RT @Mizzourah_Mom: @EricGreitens Congratulations, Governor! We have been praying for you and believed this was a political witch hunt from…</t>
  </si>
  <si>
    <t>RT @pepesgrandma: Case against Republican gov, Eric Geitens - Prosecuter began writing out indictment document before evidence of a crime w…</t>
  </si>
  <si>
    <t>RT @Little_Irishman: I am in awe of the fact that there are STILL people defending the actions of St. Louis Circuit Attorney Kim Gardner.…</t>
  </si>
  <si>
    <t>RT @ResignNowKim: (1) #BadNews : Supporters of Lawful Government of and by the people and not oligarchs- I have heard from several sources…</t>
  </si>
  <si>
    <t>RT @JW1057: Our corrupt @stlcao! https://t.co/pyPRDijlXX</t>
  </si>
  <si>
    <t>RT @FOX2now: Did the Circuit Attorney used funding to prosecute Gov. Greitens over other criminal cases? https://t.co/sDnnQ0QRNY https://t.…</t>
  </si>
  <si>
    <t>RT @christoferguson: Kim Gardner screwed this case up bad. And she should feel bad. And so should citizens of #StL City  who are at risk of…</t>
  </si>
  <si>
    <t>RT @VisioDeiFromLA: Hey Charton
Where is Faughn and I why dont uou do something constructive like ask him where he got that money.
Sorry…</t>
  </si>
  <si>
    <t>Provoked to tweet from his underground? Who's basement @scottfaughn?
Where is @scottfaughn testimony #moleg? Who paid Scott/Skyler?
@magathemaga1 @Sticknstones4 @ResignNowKim @Str8DonLemon @VisioDeiFromLA @strmsptr @DeplorableGoldn @MariaChappelleN https://t.co/p3SoE7nRdV</t>
  </si>
  <si>
    <t>@ResignNowKim @KMOV Nail on the head Six Days</t>
  </si>
  <si>
    <t>RT @ResignNowKim: @KMOV Yeah- I saw you post this same hit piece earlier. Love the smear headline.  #YELLOWDOGJOURNALISM . You had to get a…</t>
  </si>
  <si>
    <t>RT @Sticknstones4: @HennessySTL ROADTRIP !</t>
  </si>
  <si>
    <t>RT @Sticknstones4: You don’t have to be a democrat or Republican 
Kim Gardner should not be prosecuting anybody 
  The Human Party request…</t>
  </si>
  <si>
    <t>RT @MarkReardonKMOX: .@LydaKrewson should call for Kim Gardner’s resignation tonight. So should every other St. Louis Democrat.</t>
  </si>
  <si>
    <t>@Neilin1Neil @EricGreitens @RealTravisCook @YearOfZero @Sticknstones4 @KathieConway @inthejungle234 @Norasmith1000 @liberty1776son @VisioDeiFromLA @DeplorableGoldn @Boothe08887997 @blackwidow07 @JW1057 A Missouri Witch hunting 🤪Now it's her turn to get her return hunt</t>
  </si>
  <si>
    <t>Indict crooked @Mikelkehoe @RonFRichard  @Rep_TRichardson for corruption, abuse of power and illegally overthrowing an election bc their cash cows #Taxcredits #Lobbyist are eliminated by our duly elected Governor @EricGreitens https://t.co/rZaDw0LdeF</t>
  </si>
  <si>
    <t>RT @BobboGo78: @Blackboxhalo @tonymess @stlcao @EricGreitens Great to watch. You knew this was gonna happen.  Kim Gardner probably scored i…</t>
  </si>
  <si>
    <t>RT @Blackboxhalo: @tonymess @stlcao @EricGreitens Eric's lawyers destroyed Kim live on every news station.</t>
  </si>
  <si>
    <t>@johnrhancock @VisioDeiFromLA @Eric_Schmitt @EricGreitens @Rep_TRichardson Hm Visio, have you thought of that @johnrhancock might be hiding @scotfaughn????? Wouldn't Cause be evident????</t>
  </si>
  <si>
    <t>@johnrhancock @VisioDeiFromLA @Eric_Schmitt @EricGreitens @Rep_TRichardson Trying to intimidate?
John Hancock is a political pig 
https://t.co/jUZNQ348Vm</t>
  </si>
  <si>
    <t>RT @HennessySTL: Wow. Gloves off! https://t.co/uu89Dqy258</t>
  </si>
  <si>
    <t>RT @CStamper_: As Soros-backed Kim Gardner focuses on her witch hunt, “almost half of all cases brought before the circuit attorney's offic…</t>
  </si>
  <si>
    <t>RT @HennessySTL: If you can get to Jefferson City this week, tell legislators the people frown on overturning elections. Impeachment means…</t>
  </si>
  <si>
    <t>RT @24thstate: @johnrhancock Comparing @EricGreitens to a psycopathic serial killer @johnrhancock ?  Anti-semitism never gets old with you,…</t>
  </si>
  <si>
    <t>RT @24thstate: @johnrhancock Is that why you quit consulting @johnrhancock ? Or do you just prefer mere puffery?</t>
  </si>
  <si>
    <t>RT @RetNavy93: @rlippmann @tkinder The #moleg better think twice before calling for the Governor to resign. A lot of them are up for reelec…</t>
  </si>
  <si>
    <t>RT @JW1057: @l_hoffer No. It is an extremely high burden to call prosecutor as a witness. Gardner mishandled this case from the beginning w…</t>
  </si>
  <si>
    <t>RT @joshschisler: @johnrhancock If your side flagrantly violates the law while "investigating" your political adversary, I would not recomm…</t>
  </si>
  <si>
    <t>RT @RealTravisCook: #KimShady doesn't trust police reports anyhow--that's why she wants her own corrupt office investigating police shootin…</t>
  </si>
  <si>
    <t>RT @88YahamaKeys: @Aletheia_4Truth @molegislature @Bren05_ @rhondas_lil_sis Time will tell.  There was no case to begin with on invasion of…</t>
  </si>
  <si>
    <t>RT @JakeGrayPoliSci: Why is @60Minutes in an uproar about zoos killing baby animals but silent on @PPFA killing human babies? #ChooseLife</t>
  </si>
  <si>
    <t>RT @charliekirk11: At the dedication ceremony for the US embassy here in Jerusalem 
14 congressmen, 4 senators, and one governor are here…</t>
  </si>
  <si>
    <t>RT @Str8DonLemon: @HennessySTL A storm is a brewing! 
#moleg #mogov #Greitens #missouri #MoSen https://t.co/qA4MUDmX5F</t>
  </si>
  <si>
    <t>RT @HennessySTL: Tonight feels like 2009 all over again. Maybe we need a little #teaparty in JC #mo? Give #moleg the old George III treatme…</t>
  </si>
  <si>
    <t>RT @HennessySTL: Focus on legislators who are Not termed out. Warn them that people don’t like having elections nullifies by pawns. https:/…</t>
  </si>
  <si>
    <t>Impeach @Mikelkehoe  @Rep_TRichardson @RonFRichard for Moral Turpitude! https://t.co/8deFb7QhTG</t>
  </si>
  <si>
    <t>RT @Sticknstones4: @VisioDeiFromLA @willscharf @Shawtypepelina @RightSideUp313 @Neilin1Neil @RealTravisCook @SKOLBLUE1 @Rep_TRichardson @bl…</t>
  </si>
  <si>
    <t>RT @VisioDeiFromLA: (2) Next on Deck
J. Eggleston
Will he screw over #Missouri Voters by impeaching?
Call him up or email him and ask hi…</t>
  </si>
  <si>
    <t>RT @VisioDeiFromLA: (1) #Missouri COUP is ON!
Time 2 see which #MoLeg reps &amp;amp; senators support people and which want to screw over voters…</t>
  </si>
  <si>
    <t>RT @VisioDeiFromLA: #Moleg doesnt care about #Missouri
Will they steal from U? If U let them.
Dont let them
Mike Kehoe #573-751-2076
@Mi…</t>
  </si>
  <si>
    <t>RT @HennessySTL: Developing... https://t.co/itLuqK64rl</t>
  </si>
  <si>
    <t>RT @blackwidow07: @Sticknstones4 @HennessySTL @Rep_TRichardson @jaybarnes5 @Mikelkehoe  @ronfrichards1 Time to move on fellows. Grow up you…</t>
  </si>
  <si>
    <t>@JaneDueker Jane Dueker, MediaMobAtty going ballistic bc her intrigues to collude with #moleg #InvestigativeCommitteeCrooks didn't work out to get Governor #Greitens with their witch hunt.
Hope you get sued for defamation, Jane ≠ 1A</t>
  </si>
  <si>
    <t>Jane Dueker, MediaMobAtty going ballistic bc her intrigues to collude with #moleg #InvestigativeCommitteeCrooks didn't work out to get Governor #Greitens with their witch hunt.
Hope you get sued for defamation, Jane ≠ 1A https://t.co/oeDBaiDLt4</t>
  </si>
  <si>
    <t>@JaneDueker Going ballistic, Jane 🤪</t>
  </si>
  <si>
    <t>Now, now, Jane Dueker claims to be a 'Media Attorney' aka COLLUDER
Now she has a 'hussy-fit' bc her intrigues didn't work out
Hey Jane, take a #RedPill and go to bed, you will feel better 🤪
Down with the #MOSewer #moleg and #MediaMob https://t.co/09dHSvAtP8</t>
  </si>
  <si>
    <t>RT @ResignNowKim: @VisioDeiFromLA @ZekeMelchizedek @Neilin1Neil @Shawtypepelina @willscharf @Avenge_mypeople @HennessySTL @SKOLBLUE1 @Laute…</t>
  </si>
  <si>
    <t>RT @VisioDeiFromLA: @ZekeMelchizedek @Neilin1Neil @Shawtypepelina @willscharf @Avenge_mypeople @HennessySTL @SKOLBLUE1 @Lautergeist @Stickn…</t>
  </si>
  <si>
    <t>RT @VisioDeiFromLA: #MoLeg #Mogov #Greitens #GreitensTrial #KimShady #STL #StLouis #kcmo https://t.co/wYuck2DUTw</t>
  </si>
  <si>
    <t>RT @blackwidow07: @JW1057 @JCunninghamMO @EricGreitens Hope the names come out. Several going on right now.</t>
  </si>
  <si>
    <t>RT @JW1057: @blackwidow07 @JCunninghamMO The Legislature should also remember that their conduct here will serve as a precedent to expel me…</t>
  </si>
  <si>
    <t>RT @Sticknstones4: @JCunninghamMO @JohnLamping It’s not about us the people it’s about their pockets</t>
  </si>
  <si>
    <t>RT @tkinder: @JCunninghamMO #MoLeg doesn’t care. I’m guessing it’s going to take voters either staying home instead of voting Republican or…</t>
  </si>
  <si>
    <t>RT @VisioDeiFromLA: @tkinder @JCunninghamMO You want people to think it's fair, you act fair. They are acting like they will impeach mo mat…</t>
  </si>
  <si>
    <t>RT @JCunninghamMO: A friend tweeted this: “It’s a shame some in #MoLeg are letting their distaste for the Gov ‘s actions cause them to take…</t>
  </si>
  <si>
    <t>RT @magathemaga1: @_FlyUnderground @DeplorableGoldn @VisioDeiFromLA @EricGreitens Bro.
They called on the defense because she met with kit…</t>
  </si>
  <si>
    <t>RT @Norasmith1000: @VisioDeiFromLA @Rep_TRichardson @willscharf @Shawtypepelina @Neilin1Neil @RealTravisCook @Avenge_mypeople @HennessySTL…</t>
  </si>
  <si>
    <t>RT @sigi_hill: @VisioDeiFromLA @Rep_TRichardson @willscharf @Shawtypepelina @Neilin1Neil @RealTravisCook @Avenge_mypeople @Norasmith1000 @H…</t>
  </si>
  <si>
    <t>@VisioDeiFromLA @Rep_TRichardson @willscharf @Shawtypepelina @Neilin1Neil @RealTravisCook @Avenge_mypeople @Norasmith1000 @HennessySTL @SKOLBLUE1 @ByronYork @gatewaypundit Is #MoLeg hiding @scottfaughn to prevent corruption revelations ?
Indict all of the #moleg #InvestigativeCommittee</t>
  </si>
  <si>
    <t>RT @VisioDeiFromLA: Dont think we forgot about you, Scott.
We still need to know where Faughn is &amp;amp; where he got his money.
Would the guy…</t>
  </si>
  <si>
    <t>@JaneDueker @aaron_hedlund What kind of #FakeLawyer are you that you still don't get? So hatred that you are blind. Wrong motivation.</t>
  </si>
  <si>
    <t>RT @sigi_hill: @aaron_hedlund #Prosecute @stlcao @kimgardner77th for #ProsecutorialMalfeasance and disbar for life</t>
  </si>
  <si>
    <t>@aaron_hedlund #Prosecute @stlcao @kimgardner77th for #ProsecutorialMalfeasance and disbar for life</t>
  </si>
  <si>
    <t>RT @aaron_hedlund: What we observed today was a politically motivated, incompetent prosecutor with no evidence throw in the towel rather th…</t>
  </si>
  <si>
    <t>Indict @Mikelkehoe and @Rep_TRichardson for corruption, abuse of power and illegally overthrowing an election
Expose #MoLeg #MoGov #MOSen Coup d'état to CYA 
#ProsecuteThemAll https://t.co/8s2exQiHl0</t>
  </si>
  <si>
    <t>@ChristopherAve Indict @Mikelkehoe and @Rep_TRichardson for corruption, abuse of power and illegally overthrowing an election</t>
  </si>
  <si>
    <t>RT @SKOLBLUE1: @tkinder @EricGreitens There is an all out war on #Greitens and the #corruption runs so deep in #STL and #Missouri  Very Sad!</t>
  </si>
  <si>
    <t>RT @Sticknstones4: @tkinder @EricGreitens How much did they collude with Lobbyists &amp;amp; special interest groups?How much did the Low Income Ho…</t>
  </si>
  <si>
    <t>RT @tkinder: At this point it’s becoming clear #moleg isn’t concerned about the facts so much as removing Governor .@EricGreitens  from off…</t>
  </si>
  <si>
    <t>RT @VisioDeiFromLA: How I know this a COUP?
#MoLeg didn't even wait 2 release statements to try to distract from #Greitens statements
Des…</t>
  </si>
  <si>
    <t>RT @VisioDeiFromLA: It's COUP Time!
Not even an apology 4 dragging #greitens through the mud on false charges! 
Now #MoLeg looks to disre…</t>
  </si>
  <si>
    <t>RT @VisioDeiFromLA: @johnrhancock @RonFRichard @Rep_TRichardson You dont. Also, the house committe has no credibitly 
They didnt cross exa…</t>
  </si>
  <si>
    <t>RT @philip_saulter: @ws_missouri Well since these senators clearly do not represent the interest of Missouri voters I call on them to resig…</t>
  </si>
  <si>
    <t>RT @ResignNowKim: @ws_missouri Yeah: kehoe got a big award from @Scott faughn in January- are shocked that they’re in bed together? Of cour…</t>
  </si>
  <si>
    <t>@ws_missouri You haven't learned a damn thing: It's called Coup d'état to CYA. Do your job and do investigative journo instead of parroting #FakeNews #SpringfieldMisleader</t>
  </si>
  <si>
    <t>RT @VisioDeiFromLA: Old story bud
Also the hairdresser story is FAKE
@RonFRichard @Rep_TRichardson @elijahhaahr would be very wise to end…</t>
  </si>
  <si>
    <t>RT @magathemaga1: Yo @TwitterSupport please undshadow bam me. I think I may have been posting too fast. Please and thank you.
@parscale @F…</t>
  </si>
  <si>
    <t>@JaneDueker @mask141 You should be sued for defamation and spreading lies #FakeLawyer loser. Looks like you are part of the corruption and can't accept the truth. #KarmaIsABitch</t>
  </si>
  <si>
    <t>RT @MarkReardonKMOX: I'm worried about my friend Jane. She's been apoplectic about this from the beginning and when she realizes impeachmen…</t>
  </si>
  <si>
    <t>RT @SKOLBLUE1: This is the tweet of the day! Well done Sir! 👏🏻👏🏻🙌🏻💜💜 https://t.co/zw05DVWgOy</t>
  </si>
  <si>
    <t>Let's do it! #DrainTheMOSewer https://t.co/93GMfQPpgE</t>
  </si>
  <si>
    <t>RT @Sticknstones4: @HennessySTL Time to go after the Low Income Housing tax credit Industry</t>
  </si>
  <si>
    <t>Ditto that! #ProsecuteThemAll #moleg https://t.co/u4RBYBchty</t>
  </si>
  <si>
    <t>RT @AaronSchuler7: @imtripptripp @EricGreitens So what we are going to do is trace the ip addresses and then identify those making defamato…</t>
  </si>
  <si>
    <t>RT @SamWilliams1397: @EricGreitens  https://t.co/EG2yOQwwCR</t>
  </si>
  <si>
    <t>Finally! Great victory Governor @EricGreitens !
Now it's time to expose the corrupt #moleg #InvestigativeCommittee #ScottFaughnMOTimes #KimGardnerStLCA #AlWatkins #PhilSneed #KittySneed and #ProsecuteThemAll to clean house https://t.co/rB8n7NoWmz</t>
  </si>
  <si>
    <t>RT @magathemaga1: It makes the other charges look like a Plan B and total bs over a charity HE BUILT.
Also No apology?
You knew very well…</t>
  </si>
  <si>
    <t>RT @magathemaga1: @JakeGrayPoliSci Been saying this since it was found out the committe didnt even bother to cross examine them.
#moleg #m…</t>
  </si>
  <si>
    <t>RT @JakeGrayPoliSci: This is why I think #MoLeg should have waited to act. With all the new evidence coming out including Judge Burlison’s…</t>
  </si>
  <si>
    <t>RT @magathemaga1: Took break &amp;amp; #KimShady dropped case. Her explanation is laughable
Clearly didnt want 2 take stand &amp;amp; explain:
No police…</t>
  </si>
  <si>
    <t>RT @magathemaga1: @Nanci_TattooU @jrosenbaum @willscharf @Shawtypepelina @SKOLBLUE1 @RealTravisCook @Neilin1Neil @Avenge_mypeople @blackwid…</t>
  </si>
  <si>
    <t>RT @Nanci_TattooU: @magathemaga1 @jrosenbaum @willscharf @Shawtypepelina @SKOLBLUE1 @RealTravisCook @Neilin1Neil @Avenge_mypeople @blackwid…</t>
  </si>
  <si>
    <t>RT @magathemaga1: ATTN #MoLeg
#KimShady joins ranks of Scott Faughn
Scott hiding cuz he doesnt want 2 talk
#KimShady likely pulled this…</t>
  </si>
  <si>
    <t>RT @Str8DonLemon: Where is the police report?
Oh wait Kim Gardner didnt go to the police and instead hired some "OUTSIDE PROSECUTORS"
She…</t>
  </si>
  <si>
    <t>RT @Str8DonLemon: Remember #MoLeg
No evidence.
She dont even have the photo!
The whole case based on that!
When do we disbar Crooked Kim…</t>
  </si>
  <si>
    <t>@JW1057 @stlcao @SCRyanSTL @TeamGreitens Good point! That should be a great concern, would not put it past #MalfeasanceKimGardner to tamper with jury to complete her crimes at any rate and in cooperation with #moleg #mogov #MOSen slimy #AlWAtkins @scottfaughn</t>
  </si>
  <si>
    <t>RT @JW1057: @stlcao has suborned perjury, repeatedly lied to the court, and engaged in additional criminal conduct. Should we be concerned…</t>
  </si>
  <si>
    <t>RT @magathemaga1: Which reminded me of story/video from @mopns
"One question we have is why Newman’s stepson, Andrew Newman, who works 4 t…</t>
  </si>
  <si>
    <t>RT @ResignNowKim: @ST_Designs @TheBADASS_army @ma_franks @elisadamico @EricGreitens Hey! It’s a First And Fourteenth Amendment Press/ Acces…</t>
  </si>
  <si>
    <t>@ST_Designs @TheBADASS_army @ma_franks @elisadamico @EricGreitens Hey Sharon, you talking abt the hairdresser whore #KatrinaKittyAnnSneed reputated 2sleep w high profile politicians &amp;amp; her cheating failed musician 2x ex husband #PhillipTaylorSneed @HereLiesMoon in cahoots w #MalfeasanceKimGardner? No protection 4 #ExploiderSneeds! https://t.co/2cBteDKgM5</t>
  </si>
  <si>
    <t>RT @magathemaga1: Judge OKd use of name &amp;amp; you cannot GAG public
Also ALLEGED victim
Public can speak about KS if they want. It's in PUBLI…</t>
  </si>
  <si>
    <t>RT @Sticknstones4: @RonFRichard 
Give the Bills to the governor to sign 
Stop holding up signatures for your own political games 
Do the…</t>
  </si>
  <si>
    <t>RT @magathemaga1: I see your conceding defeat on the fake hairdresser story and pivoting tl more bs.
How about an apology for all of your…</t>
  </si>
  <si>
    <t>RT @magathemaga1: Now Jason.
Ask
Who funded @scottfaughn 
Who is The Funder
That's the key
Dig into this
#moleg #mogov #GreitensTrial…</t>
  </si>
  <si>
    <t>RT @magathemaga1: You impeach over BS, EXPECT massive losses at ballot box in November. You have to fight this or they will keep doing it &amp;amp;…</t>
  </si>
  <si>
    <t>RT @magathemaga1: Speaking of Stacey Newman... 
@SpeakerTimJones spoke about this when he was arguing with her on Twitter when she decided…</t>
  </si>
  <si>
    <t>RT @magathemaga1: What we definitely know for sure?
Stacey Knewman is involved in coordination with Mo House dems and #KimShady
She knew.…</t>
  </si>
  <si>
    <t>RT @magathemaga1: As for #MoLeg Collusion with #KimShady...
Was it only Democrats?
Did any member of @MOHouseGOP also collude with CAO 2…</t>
  </si>
  <si>
    <t>IMO @staceynewman is guilty! Probably in cooperation w Claire! https://t.co/NgJINPz2u3</t>
  </si>
  <si>
    <t>#moleg collusion https://t.co/NgJINPz2u3</t>
  </si>
  <si>
    <t>RT @KCStar: Newspaper booted from press corps over publisher's $50k payment in Greitens case https://t.co/5mCP1nB0Wv</t>
  </si>
  <si>
    <t>RT @HennessySTL: Missouri is more corrupt than Russia.  Missouri’s oligarchs are out to get @EricGreitens. The evil oligarchs want your tax…</t>
  </si>
  <si>
    <t>RT @JW1057: @AbbyLlorico @EricGreitens @stlcao @SCRyanSTL You should ask why the CAO isn't complying with public records request. Why can't…</t>
  </si>
  <si>
    <t>RT @Sticknstones4: Since Friday Afternoon 
19 shootings 3 people Dead 
Shame on Mayor Lyda Krewson , Shame on Kim Gardner
&amp;amp; Shame on The B…</t>
  </si>
  <si>
    <t>@BryanLowry3 Anybody not understanding th consequences of this vile heinous attempt by #mole #Swamp @kimgardner77th could be the next victim. We are a country with law &amp;amp; order &amp;amp; the best constitution.Not guarding means we lose OUR rights/freedom.
Scam of an indictment https://t.co/dl8wFHoAk8</t>
  </si>
  <si>
    <t>Does that surprise you, Bryan? Missourians see through the MISSOURI CRIME SCENE coup against @GovGreitensMO while the #DNCmedia is controlled by corrupt #moleg #MoDemocRAT #ClaireMcCaskill
#WeWillNeverForget https://t.co/qm1RpAZmAI</t>
  </si>
  <si>
    <t>RT @Sticknstones4: Many #Moleg Memebers let Missouri get ripped off for years
Governor Greitens put an end to it 
This is why they want t…</t>
  </si>
  <si>
    <t>Who is hiding @scottfaughn #moleg #MoGov #MOSen https://t.co/D36xe4uKun</t>
  </si>
  <si>
    <t>RT @TomJEstes: School admins like this guy are now openly opposing a bill that would require public schools to work harder to make sure kid…</t>
  </si>
  <si>
    <t>RT @magathemaga1: Who is “The Funder”?
The Funder likely has connection to following people:
1. #MoLeg
2. Scott Faughn
3. Skyler 
The Fu…</t>
  </si>
  <si>
    <t>RT @CStamper_: We are about to find out what happens when a Soros-backed prosecutor takes a case to trial without literally any actual evid…</t>
  </si>
  <si>
    <t>@kelseylandis Y R the phone records of #KittySneed w @staceynewman coercing her not published? #DemNewman texting:“my House Dem leadership insist you need a lawyer fast.” Motion says same Rep texted a week later- “STL Circuit Attorney Kim Gardner, she said you can have your attorney call her.”</t>
  </si>
  <si>
    <t>RT @jrosenbaum: What I’m wondering is if @jaybarnes5 will subpoena low income housing tax credit developers/lobbyists to ask them under oat…</t>
  </si>
  <si>
    <t>RT @eyokley: Bunch of lawmakers from another set of #MOLeg controversies finally got their wish. https://t.co/yu24gKJuai</t>
  </si>
  <si>
    <t>RT @Sticknstones4: The Special Interest Groups that think they could Run Missouri 
They Paid 120K Cash  to leak a fake sex scandal to try…</t>
  </si>
  <si>
    <t>RT @JW1057: Hmm! 2 times in 12 years. 1 time wasn't really cheating? Were Kitty and Phil on a break so it didn't count (Ross &amp;amp; Rachel on Fr…</t>
  </si>
  <si>
    <t>MISSOURI CRIME SCENE
The secret coup by #MODemocRATs and the #MOSenat sewer against @GovGreitensMO to keep their corruptions against #MOTaxpayer going
Impeach #moleg #MoGov @jaybarnes5  @Rep_TRichardson at the top https://t.co/fTzF7VwQZk</t>
  </si>
  <si>
    <t>RT @caesar718: @ResignNowKim @EricGreitens @KimGardnerSTL @kimgardner77th @stlcao She’s gotta go!</t>
  </si>
  <si>
    <t>RT @ResignNowKim: @caesar718 @EricGreitens Yes, that’s how ethical prosecutors normally proceed.... but then we’re talking #kimshady here.…</t>
  </si>
  <si>
    <t>RT @caesar718: Well well, what do you know?! Complete political witch hunt against @EricGreitens. They should have been in receipt of evide…</t>
  </si>
  <si>
    <t>Crooked @jaybarnes5 #Resign!
Crooked  @Rep_TRichardson #Resign!
#WeWillRememberYou https://t.co/1B4L93YJl4</t>
  </si>
  <si>
    <t>RT @magathemaga1: Is @jaybarnes5 attempting to taint the jury pool?
#moleg #mogov #greitens #GreitensTrial https://t.co/Dxkpn8UdgL</t>
  </si>
  <si>
    <t>RT @Sticknstones4: Confirmed No picture 
It’s Time the money behind this charade of a case be followed 
Who supplied the 120k cash 
#gre…</t>
  </si>
  <si>
    <t>RT @magathemaga1: Total farce.
#KimShady needs to be disbarred.
No photo 
No cloud data 
No case 
DISMISS 
DISBAR
Come on Rex!
#MOLeg…</t>
  </si>
  <si>
    <t>RT @Neilin1Neil: @magathemaga1 @jrosenbaum @jaybarnes5 @Rep_TRichardson @RightSideUp313 @Shawtypepelina @willscharf @EricGreitens @Hennessy…</t>
  </si>
  <si>
    <t>RT @magathemaga1: @jrosenbaum @jaybarnes5 @Rep_TRichardson I think the key to this is finding "The Funder"
I hypothesize that The Funder h…</t>
  </si>
  <si>
    <t>RT @magathemaga1: @jrosenbaum @jaybarnes5 @Rep_TRichardson Hey Jason doing a little homework my self here based on what's public
Will be u…</t>
  </si>
  <si>
    <t>PLEASE, the stupidity of he hatred brainless paparazzi mob is painful, CANCEL #WHBriefings and give back valuable time to the Trump Team to work all the important #MAGA missions. 
#CNN #WaPo #NYT ARE ALL #TERRORISTS https://t.co/xT2NrEjW3l</t>
  </si>
  <si>
    <t>RT @magathemaga1: FLASHBACK #moleg #mogov
Remember this? 
This is when @EricGreitens cut off the gravy train. This was late last year....…</t>
  </si>
  <si>
    <t>RT @magathemaga1: Find The Funder, Find The Key
✔️Where is Scott Faughn
✔️Who gave him the money?
✔️Who is Skyler?
👉Who lost the most fro…</t>
  </si>
  <si>
    <t>RT @SaraCarterDC: A Russian company Mueller indicted apparently didn’t exist at the time of the 2016 election, plus interesting history on…</t>
  </si>
  <si>
    <t>RT @HotPokerPrinces: Special interests Ripping off Missouri Taxpayers 
Eric Greitens stood up for Taxpayers to end this corrupt scam  
TIM…</t>
  </si>
  <si>
    <t>RT @HotPokerPrinces: FOLLOW THE MONEY ➡️➡️➡️MISSOURI COLLUSION 
GREITENS CUT 150 MILLION DOLLARS IN LOW INCOME HOUSING TAX CREDITS.. Devel…</t>
  </si>
  <si>
    <t>RT @RealJack: Logan Act. 
BOMBSHELL: Photos Emerge Of John Kerry In Secret Meeting With Iranian Officials https://t.co/bIzJ4Yo7EF</t>
  </si>
  <si>
    <t>RT @realDonaldTrump: U.S. Embassy opening in Jerusalem will be covered live on @FoxNews &amp;amp; @FoxBusiness. Lead up to 9:00 A.M. (eastern) even…</t>
  </si>
  <si>
    <t>RT @Education4Libs: Does anybody remember that time when Barack Obama made fun of Donald Trump at the White House Correspondents’ Dinner 7…</t>
  </si>
  <si>
    <t>RT @magathemaga1: What is @tonymess going to report?
U cant gag the public.
Judge OKd use of the names for media. Why arent you naming th…</t>
  </si>
  <si>
    <t>RT @SpeakerTimJones: The Internet Autocrat Hath Spoken!! So absolutely laughable to watch this washed up dinosaur media character assassin…</t>
  </si>
  <si>
    <t>RT @dbongino: How do liberals live with themselves knowing their ideology is a cult, wrapped in a fraud, energized by idiocy? After celebra…</t>
  </si>
  <si>
    <t>RT @RealOmarNavarro: Everyone join me and chip in to help defeat Maxine Waters. She’s got special interest backing her. I need you to help…</t>
  </si>
  <si>
    <t>RT @CoreyLMJones: While Trump is busy ending wars, lowering unemployment, and rebuilding America, the liberal media is busy covering witch…</t>
  </si>
  <si>
    <t>RT @TeetheVegan: IF YOURE A PITBULL OWNER/BREEDER, PLEASE DONT POST ON FACEBOOK OR CRAIGSLIST. SAVE THE BREED. PEOPLE ARE KILLING INNOCENT…</t>
  </si>
  <si>
    <t>RT @thebradfordfile: Congressional Democrats:
Congratulations on your epic, collective no-show to the historic U.S. Embassy opening in Jer…</t>
  </si>
  <si>
    <t>RT @ResignNowKim: @magathemaga1 @scottfaughn @Neilin1Neil @RealTravisCook @blackwidow07 @Norasmith1000 @Shawtypepelina @willscharf @DerekGr…</t>
  </si>
  <si>
    <t>RT @magathemaga1: @ResignNowKim @scottfaughn @Neilin1Neil @RealTravisCook @blackwidow07 @Norasmith1000 @Shawtypepelina @willscharf @DerekGr…</t>
  </si>
  <si>
    <t>RT @magathemaga1: This also assumes that @EricGreitens doesnt stay and is impeached.
It is very odd how the press isnt digging into this s…</t>
  </si>
  <si>
    <t>RT @magathemaga1: SPECULATION #MOLEG
Why does media lack any curiosity as to where @scottfaughn's 💰 came from?
What if media knows where…</t>
  </si>
  <si>
    <t>RT @ClintonMSix141: Not one person can name a single thing Obama accomplish during his 8 years as President.
and don't you dare say Obama…</t>
  </si>
  <si>
    <t>RT @jeepsuzih2: This is Such a Disgrace to know the media spent 30 seconds on prisoners return from N. Korea 
With our PresidentTrump there…</t>
  </si>
  <si>
    <t>RT @Jamierodr10: #Outrageous! Double Amputee turned away from the VA! We need to get someone in there that can clean this mess up! Democrat…</t>
  </si>
  <si>
    <t>RT @magathemaga1: Good question #MoLeg #MoGov #Greitens #GreitensTrial https://t.co/LvrW98ywQr</t>
  </si>
  <si>
    <t>RT @RealJack: Keep talking, Nancy! You’re going to help make the midterms a breeze for the Republican Party! 
WATCH: Pelosi Has MAJOR Gaff…</t>
  </si>
  <si>
    <t>RT @Pickles0201: 🇺🇸 PENNSYLVANIA 🇺🇸
May 15, 2018 PRIMARIES🔴⚪🔵
Please be sure to VOTE RED &amp;amp; VOTE 4 #MAGA candidates!☒
➡ Ur turn to do ur…</t>
  </si>
  <si>
    <t>RT @BarryJo40618850: @Capt_ST @hulahick @RodStryker  https://t.co/Iivu7qppAa</t>
  </si>
  <si>
    <t>RT @clivebushjd: Report this post please. You or I would be suspended and most likely, have our accounts removed permanently. I have lost a…</t>
  </si>
  <si>
    <t>@clivebushjd Reported</t>
  </si>
  <si>
    <t>RT @RealJack: Sarah Sanders EPICALLY took Kerry, Obama, and Hillary to school on the Iran deal. 
Our Press Secretary is incredible. 
http…</t>
  </si>
  <si>
    <t>RT @realDonaldTrump: So sad to see the Terror Attack in Paris. At some point countries will have to open their eyes &amp;amp; see what is really go…</t>
  </si>
  <si>
    <t>RT @realDonaldTrump: Remember how badly Iran was behaving with the Iran Deal in place. They were trying to take over the Middle East by wha…</t>
  </si>
  <si>
    <t>RT @realDonaldTrump: China and the United States are working well together on trade, but past negotiations have been so one sided in favor…</t>
  </si>
  <si>
    <t>RT @realDonaldTrump: President Xi of China, and I, are working together to give massive Chinese phone company, ZTE, a way to get back into…</t>
  </si>
  <si>
    <t>RT @Margare03456100: Limbaugh: Mueller’s Investigation ‘a Cover-up’ of Obama DOJ, FBI Effort to Destroy Trump Presidency (VIDEO) https://t.…</t>
  </si>
  <si>
    <t>RT @magathemaga1: Messenger still doesn’t care who gave Scott Faughn his money though.
This is why the St. Louis Post dispatch has no cred…</t>
  </si>
  <si>
    <t>RT @magathemaga1: Hey @GeorgeWBush you were a terrible president https://t.co/l8fM1Yidhp</t>
  </si>
  <si>
    <t>RT @SnowWhite7IAM: Former President George W. Bush slams 'isolation' following President Trump's decision to withdraw from the Iran deal, a…</t>
  </si>
  <si>
    <t>RT @magathemaga1: @RGreggKeller 
Was going through #MoLeg tweets &amp;amp; a tweet of yours caught my eye
Whipping votes?  
“Failure to see ‘The…</t>
  </si>
  <si>
    <t>RT @RightSideUp313: @KMOXKilleen @EricGreitens Kevin, would you kindly investigate who’s paying for all this? City hall is silent so I’m wo…</t>
  </si>
  <si>
    <t>RT @JW1057: @mffisher Please get the facts straight about what we know regarding the affair between @EricGreitens and Katrina. @JamesMNHarr…</t>
  </si>
  <si>
    <t>RT @JW1057: @joelcurrier The only cloud that I see is over the MO Legislature and St. Louis CAO!
#moleg #mogov #greitens #KimShady #IStandW…</t>
  </si>
  <si>
    <t>RT @Neilin1Neil: The jilted lady Or, as the rest of the world refers to her: Katrina “Kitty” Sneed! @EricGreitens @YearOfZero @RealTravisCo…</t>
  </si>
  <si>
    <t>RT @magathemaga1: "The Thing"?
Sounds like The Coup
Saying that in such a way presupposes there was plan in motion
"Failure to..." indic…</t>
  </si>
  <si>
    <t>RT @JW1057: 50 Shades of Katrina "Kitty" Sneed. Who is paying Scott Simpson? What did @stlcao say to you in that hotel room, when it was ju…</t>
  </si>
  <si>
    <t>RT @JW1057: @KMOXKilleen I wonder why CAO won't comply with public records request for proof of payment to Sullivan, Tisaby, and Enterra? I…</t>
  </si>
  <si>
    <t>RT @JW1057: @KMOXKilleen 2/2 She admits before ever entering basement she knew he was being "sexual" and she was "intrigued" by the idea of…</t>
  </si>
  <si>
    <t>Missouri Crime Scene
The #MoralTurpitude #MoLeg are using #KittySneedWhore lies to square up against Governor #Greitens that shuts down #MOSEN corruption,abuse of power, tax credits income, lobbyist income. @AGJoshHawley @Rep_TRichardson @jaybarnes5 MUST RESIGN #DisbarKimGardner https://t.co/Q2QyWOL74G</t>
  </si>
  <si>
    <t>RT @HotPokerPrinces: @Avenge_mypeople @magathemaga1 @tonymess @blackwidow07 @Shawtypepelina @DerekGrier @MOHouseGOP @grcfay @mopns @Stickns…</t>
  </si>
  <si>
    <t>RT @CStamper_: Soros-backed Kim Gardner is wasting big time taxpayer dollars on a Harvard professor who simply laughs at the judge after th…</t>
  </si>
  <si>
    <t>RT @xode0000: @CStamper_ The judge show hold that "professor" in contempt and make that "professor" reimburse the 100,000.00 from his own p…</t>
  </si>
  <si>
    <t>RT @TomJEstes: Superintendent openly endorses @clairecmc See #moleg ? These people aren’t on your side. We need to ignore the educrats and…</t>
  </si>
  <si>
    <t>@BenjaminDPeters @MariaChappelleN @SenatorDixon @SenatorDixon from Springfield MO is a slimy insidious hypocrite. He plays now Mr. pious citizen in Springfield to get into the commissioner position. Expose #FakeBobDixon
#moleg</t>
  </si>
  <si>
    <t>RT @MariaChappelleN: https://t.co/qhqYBwLZpz</t>
  </si>
  <si>
    <t>RT @MariaChappelleN: Table. Chairs. Back set. Sunburn. Where's @scottfaughn? https://t.co/BcrLz3hpaQ</t>
  </si>
  <si>
    <t>RT @ResignNowKim: @MariaChappelleN @Sticknstones4 @scottfaughn Hey @hafnermo or should I say #MoleManMike : where is @scottfaughn ?  #moleg</t>
  </si>
  <si>
    <t>RT @JW1057: 2/2 What was spent on two other experts and Enterra? Plus additional work. Don't you wonder if the CAO is actually paying these…</t>
  </si>
  <si>
    <t>RT @JW1057: 1/2 @MariaChappelleN I don't believe the $120k to Watkins was all the money spent. Where is the money for Scott Simpson coming…</t>
  </si>
  <si>
    <t>RT @StandingDarrell: 🇺🇸Hmmm ~ #NancyPiglosi why the stone face ~ too much #Botox or orders or has that tiny #Marxicrat brain 🧠 of yours fin…</t>
  </si>
  <si>
    <t>RT @RealMAGASteve: Please help me honor the sacrifice of US Army Sgt. Joseph M. Peters, 24, of Springfield, MO. He was 1 of 4 soldiers K.I.…</t>
  </si>
  <si>
    <t>RT @pinkk9lover: Trump is set to host NATO Secretary-General Jens Stoltenberg at the White House Thursday to discuss NATO’s role in the int…</t>
  </si>
  <si>
    <t>RT @MaasVoll: Demonstration gegen Ditib-Moschee in Stuttgart: Linksextreme greifen AfD-Politiker an https://t.co/kM9tsXDjbr via @DrDavidBer…</t>
  </si>
  <si>
    <t>RT @Avenge_mypeople: @magathemaga1 @tonymess @blackwidow07 @Shawtypepelina @DerekGrier @MOHouseGOP @grcfay @mopns @Sticknstones4 @SpeakerTi…</t>
  </si>
  <si>
    <t>RT @magathemaga1: @tonymess since U dont want people talking about Stacey Newman's friend or her inconsistent testimony (lies) &amp;amp; perhaps he…</t>
  </si>
  <si>
    <t>RT @BackTheCops: How cool is this. https://t.co/7tvWUskjEU</t>
  </si>
  <si>
    <t>RT @CStamper_: Honor your father and your mother, so that you may live long in the land the LORD your God is giving you. (Exodus 20:12)</t>
  </si>
  <si>
    <t>RT @Jamierodr10: Iranian Regime #Threatens to release names of Western officials that took bribes to pass the nuke deal. I wonder if Obama…</t>
  </si>
  <si>
    <t>RT @dbongino: When it all comes out John Brennan’s true character is going to be exposed. This man disgraced himself, the CIA, the IC, and…</t>
  </si>
  <si>
    <t>RT @JacobAWohl: @realDonaldTrump President Trump promised to be the GREATEST Jobs President God Ever Created
Promises made, Promises kept!</t>
  </si>
  <si>
    <t>RT @charliekirk11: You ever hear of Democrat privilege?
It means you can commit crimes without going to jail
Like Hillary selling our ura…</t>
  </si>
  <si>
    <t>RT @ResignNowKim: A limerick for Greg-guh: “His name was @RGreggKeller , an industry whore of a feller. He ginned up a coup, to gain IOUs,…</t>
  </si>
  <si>
    <t>@MatthewHilk @kaitlancollins @CNNInsidePolitx 'Disturbing' while U deranged paparazzi harass disrespect slander &amp;amp; lie abt POTUS all over the world, sneak leaks 2haunt down all TrumpTeam -  STFU. You have 0 credibility #FakeNewsScum You are OBSOLETE #CNNIsTerrorism. In spite of your hatred 🇺🇸is Great Again DUE TO TRUMP 😂</t>
  </si>
  <si>
    <t>@kaitlancollins 'Crass comment' while you deranged paparazzi harass disrespect slander and lie about POTUS all over the world, sneak leaks to haunt down all TrumpTeam -  STFU. You have 0 credibility #FakeNewsScum You are OBSOLETE. In spite of your hatred 🇺🇸is Great Again DUE TO TRUMP 😂</t>
  </si>
  <si>
    <t>@MZHemingway Let's be real, #SongbirdMcCain  #HanoiJohn is a war criminal NOT a hero sealed 500+POW/MIA to hide his treason. Lucky that Nixon pardoned him. 100s died bc of him. As #KeatingFive he helped 2ruin financially 25K+!got away again. False #Dossier 2harm Trump - #NoMERCY4TraitorMcCain https://t.co/QSgkLkdi48</t>
  </si>
  <si>
    <t>RT @FLOTUS: Happy Mother’s Day! https://t.co/DqAlvtmt2v</t>
  </si>
  <si>
    <t>RT @RealJack: Still waiting on the FBI to raid:
James Comey
Hillary Clinton
John Kerry
Andrew McCabe
Loretta Lynch
Debbie Wasserman-Schult…</t>
  </si>
  <si>
    <t>RT @realDonaldTrump: Happy Mother’s Day!!! https://t.co/zw71dnT7TJ</t>
  </si>
  <si>
    <t>RT @DonaldJTrumpJr: Happy Mother’s day to the best mom in the world. Vanessa enjoy your day, you’ve certainly earned it dealing with those…</t>
  </si>
  <si>
    <t>RT @BackThePolice: GRAB THE POPCORN: Iran Threatened to Name Politicians Who Took BRIBES to Pass Nuclear Deal https://t.co/yp3oqgmFhr</t>
  </si>
  <si>
    <t>RT @The_Trump_Train: Here's an idea... Lets take the $533 million given to planned parenthood and use it for arming/training teachers, hiri…</t>
  </si>
  <si>
    <t>RT @Education4Libs: An MSNBC analyst said he would “slit his throat” if he had to sit through a Sarah Sanders’ press briefing.
I had no id…</t>
  </si>
  <si>
    <t>RT @IsraelUSAforevr: BREAKING: IRAN WILL RELEASE THE NAMES OF WESTERN POLITICIANS WHO TOOK BRIBES TO MAKE IRAN DEAL HAPPEN.
TRUMP IS GENIUS!</t>
  </si>
  <si>
    <t>RT @ScottPresler: 🚨ELECTION DAY🚨
Tuesday, May 15th, is Election Day in Idaho, Nebraska, &amp;amp; Pennsylvania. Get out and vote for Republicans,…</t>
  </si>
  <si>
    <t>RT @ElderLansing: I just blocked that fifth rate porn tramp Stormy Daniels and her evil scumbag criminal lawyer and I feel better already.…</t>
  </si>
  <si>
    <t>RT @larryelder: "WATCH: Student Allegedly Assaults Teacher For Taking His Phone"
https://t.co/zm8jbkn62h
#WhyWeNeedVouchers</t>
  </si>
  <si>
    <t>RT @RyanAFournier: The lowest rated show on Fox News still outperforms the highest-rated show on CNN. People are tired of watching garbage.…</t>
  </si>
  <si>
    <t>✔Another #ConmanObama crap gone! https://t.co/Xx7kIc9ypT</t>
  </si>
  <si>
    <t>RT @Kimbraov1: Philadelphia Election Worker Pleads Guilty To Intimidating Voters Who Didn’t Want To Vote For Democrats https://t.co/QrjWrsg…</t>
  </si>
  <si>
    <t>RT @mycreativedeco1: #ObamaWorstPresidentEver, Obama was Americas "WORST" President in history! 
#Obama, is a "TRAITOR" how did he get to A…</t>
  </si>
  <si>
    <t>RT @mycreativedeco1: #winning, I am so happy that our "Greatest" President Trump &amp;amp; some of his team are not wasting taxpayers' money! I lov…</t>
  </si>
  <si>
    <t>RT @mycreativedeco1: #FridayFeeling, America's "Greatest" President Trump! #kag, Keep America Great! Trump supporters are winners!</t>
  </si>
  <si>
    <t>RT @mycreativedeco1: #ThursdayThoughts, Thank you Secretary of State Pompeo!  Excellent job!</t>
  </si>
  <si>
    <t>RT @mycreativedeco1: #ChuckSchumer Schumer is so luke warm! Eventually, God will spit him out of his mouth. Schumer step down! https://t.co…</t>
  </si>
  <si>
    <t>RT @mycreativedeco1: #ThursdayThoughts, I was too tired to watch it on Fox News. Can you imagine how tired our beautiful First Lady and our…</t>
  </si>
  <si>
    <t>Keep pushing to expose the crooks in the justice department and FBI @DevinNunes, you ARE A HERO! We The People support you 💯 https://t.co/I0uzRIcSIR</t>
  </si>
  <si>
    <t>@DevinNunes Keep pushing to expose the crooks in the justice department and FBI @DevinNunes, you ARE A HERO! We The People support you 💯</t>
  </si>
  <si>
    <t>RT @BackThePolice: Steven McDonald is pictured with his only child, Connor, who was born just months after the Central Park shooting in 198…</t>
  </si>
  <si>
    <t>RT @DonaldJTrumpJr: Happy b-day to my best girl (tied w chloe😉) Kai. 11 years ago you popped into this world &amp;amp; changed our lives forever. I…</t>
  </si>
  <si>
    <t>RT @DiamondandSilk: Allowing this witch hunt to continue while Democrats push the Russia narrative and some Republicans stand by as on-look…</t>
  </si>
  <si>
    <t>RT @realDonaldTrump: The Senate should get funding done before the August break, or NOT GO HOME. Wall and Border Security should be include…</t>
  </si>
  <si>
    <t>RT @realDonaldTrump: Iran’s Military Budget is up more than 40% since the Obama negotiated Nuclear Deal was reached...just another indicato…</t>
  </si>
  <si>
    <t>RT @realDonaldTrump: North Korea has announced that they will dismantle Nuclear Test Site this month, ahead of the big Summit Meeting on Ju…</t>
  </si>
  <si>
    <t>RT @realDonaldTrump: Why doesn’t the Fake News Media state that the Trump Administration’s Anti-Trust Division has been, and is, opposed to…</t>
  </si>
  <si>
    <t>RT @realDonaldTrump: The American people deserve a healthcare system that takes care of them – not one that takes advantage of them. We wil…</t>
  </si>
  <si>
    <t>RT @realDonaldTrump: Today, my Administration is launching the most sweeping action in history to lower the price of prescription drugs for…</t>
  </si>
  <si>
    <t>@brunofranzR @China_Welt_News Merkel lügt!!!</t>
  </si>
  <si>
    <t>RT @brunofranzR: Iran ist seit über 10 Jahren Atommacht - Iran Deal von Anfang an eine Farce https://t.co/8jLk1OoKcU via @China_Welt_News</t>
  </si>
  <si>
    <t>RT @RealSaavedra: On your show today, you suggested that the White House aide who made the alleged comment about John McCain should be "fir…</t>
  </si>
  <si>
    <t>RT @DFBHarvard: MSM is accusing President Trump of grandstanding over the release of 3 Americans he paid nothing to get Back.
President Ba…</t>
  </si>
  <si>
    <t>RT @KamVTV: A recent poll came out in California showing that the 2 main issues California citizens are Jobs/Economy and Immigration. 
NO…</t>
  </si>
  <si>
    <t>RT @larryelder: “I never got a job from a poor person.”
—Staff Sergeant Randolph Elder https://t.co/YK2geUm2yC</t>
  </si>
  <si>
    <t>RT @SykesforSenate: Reserve your free tickets to our Campaign Kickoff in Branson, Mo. #FIRECLAIRE #SENDSYKES ---&amp;gt; https://t.co/QDBfKkL8Fx</t>
  </si>
  <si>
    <t>RT @RealJamesWoods: Whenever a Democrat is interviewed by the liberal press... https://t.co/OHKe8HMiXC</t>
  </si>
  <si>
    <t>DISHONORABLE CORRUPT LAWYER @jaybarnes5 #moleg working hard 2get the 'uncomfortable' Governor out of the way fast w/o any evidence - bc the Governor took this crook's golden eggs away - lobbying, tax credit business #FireJayBarnes5
 #mogov #greitens #KimShady #IStandWithGreitens https://t.co/UsKh8mMQmE</t>
  </si>
  <si>
    <t>DISHONORABLE CORRUPT LAWYER @jaybarnes5 #moleg working hard 2get the 'uncomfortable' Governor out of the way fast w/o any evidence - bc the Governor took this crook's golden eggs away - lobbying, tax credit business #FireJayBarnes5
 #mogov #greitens #KimShady #IStandWithGreitens https://t.co/3hMqmjk6XV</t>
  </si>
  <si>
    <t>@Sticknstones4 @Joeysweettooth @scottfaughn https://t.co/MxGolVFGcv</t>
  </si>
  <si>
    <t>RT @Sticknstones4: @scottfaughn #staceynewman #collusion 
But you know , you’re part of this https://t.co/cdxCbMhdql</t>
  </si>
  <si>
    <t>@scottfaughn You crook feel pretty save right now don't you, bc #moleg is covering you?
Is @elijahhaahr still living in your party pad?
Looking forward to see you weasel when you get indicted you fraud.</t>
  </si>
  <si>
    <t>RT @PahlaviReza: The #JCPOA experiment proves again that for the Iranian people &amp;amp; the intl community the issue is not the deal (or absence…</t>
  </si>
  <si>
    <t>I hope there is a punitive measure for this revolting seditious democRAT poverty pimp #MadMaxine. "Resenting Make America Great Again" while she already corrupted herself into $5M of wealth. Where does this beast get anything done! 
https://t.co/5kUCKU0sBj https://t.co/rZbzGYLTdh</t>
  </si>
  <si>
    <t>RT @smalltownandrew: https://t.co/fEFoScSXEx
Maxine Waters resents making America great again... says as a woman she knows discrimination..…</t>
  </si>
  <si>
    <t>RT @realDonaldTrump: Big week next week when the American Embassy in Israel will be moved to Jerusalem. Congratulations to all!</t>
  </si>
  <si>
    <t>RT @EricTrump: @IvankaTrump and I circa 1987 #Throwback 😝 🇺🇸🇺🇸 https://t.co/BWpW6kkBi1</t>
  </si>
  <si>
    <t>RT @RealJack: John McCain colluded with the Democrats, the media, and the FBI to try and undermine President Trump with the fake dossier.…</t>
  </si>
  <si>
    <t>RT @1776Stonewall: Democrats are at the root of every single problem in America. Crime, poverty, drugs, border security, you name it</t>
  </si>
  <si>
    <t>RT @charliekirk11: If an illegal is found stealing a social security number, they should be immediately deported 
If an illegal commits a…</t>
  </si>
  <si>
    <t>RT @NRATV: "Do you know why we scare them so bad—why we scare the #MSM? Because we're not monolithic...This is the original big tent. And i…</t>
  </si>
  <si>
    <t>RT @Fuctupmind: The Trump border catapult prototype https://t.co/OynYfo07yT</t>
  </si>
  <si>
    <t>RT @DineshDSouza: A telling image—the Iranian mullah knows he has allies on the American left https://t.co/vIsxwUiRic</t>
  </si>
  <si>
    <t>RT @JamesHasson20: I see we’ve moved on from cheering Kim Jong Un’s sister for throwing shade at Mike Pence to...cheering the Supreme Leade…</t>
  </si>
  <si>
    <t>RT @OliverMcGee: #Winning is one-step above the mean. @POTUS @realDonaldTrump’s #AmericaFirst Agenda is six-steps above the mean! 
RT 🔁 ht…</t>
  </si>
  <si>
    <t>RT @Education4Libs: Huge shout-out to Kanye West &amp;amp; Candace Owens!
The African American Community is going through an enlightenment period…</t>
  </si>
  <si>
    <t>RT @Hope4Hopeless1: @mc_randman @STL_Blonde @USAlovesTrumpz @SykesforSenate @POTUS @ChanelRion @MissouriGOP @clairecmc STRONG &amp;amp; DETERMINED…</t>
  </si>
  <si>
    <t>RT @Hope4Hopeless1: @Capitalist1818 @staceynewman .@POTUS .@EricGreitens.
.@StaceyNewman is IN THICK w/ #SOROS funded BLM ACTIVISTS #MOleg…</t>
  </si>
  <si>
    <t>RT @Hope4Hopeless1: @Jesus_isPeace .@POTUS #MISSOURI #Moleg THERE IS VERY CLEAR EVIDENCE OF COLLUSION TO UNSEAT OUR DULY ELECTED GOVERNOR .…</t>
  </si>
  <si>
    <t>RT @Hope4Hopeless1: @KMOXKilleen @EricGreitens .@POTUS .@EricGreitens #WeThePeople of #MISSOURI STAND AGAINST THE Anti-Constitutional #Esta…</t>
  </si>
  <si>
    <t>RT @Hope4Hopeless1: @EricGreitens Governor.@EricGreitens &amp;amp; .@POTUS .@realDonaldTrump I can't begin to express my admiration &amp;amp; gratitude for…</t>
  </si>
  <si>
    <t>RT @1776Stonewall: Could "the storm is coming" have been referring to Stormy Daniels?. . . well, then I suppose the storm would be "cumming…</t>
  </si>
  <si>
    <t>RT @BackThePolice: This is a great idea! https://t.co/dU3N9r2Y8n</t>
  </si>
  <si>
    <t>RT @Lrihendry: If Trump found a cure for cancer, never Trumpers would be screaming we have the right to die from cancer, curing cancer is r…</t>
  </si>
  <si>
    <t>RT @brunofranzR: Das solche Menschen im Mittelpunkt dieser Gesellschaft stehen zeigt was man in Germany unter Satire versteht 😂😂😂 https://t…</t>
  </si>
  <si>
    <t>@JW1057 @KMOXKilleen @EricGreitens Same here</t>
  </si>
  <si>
    <t>#IStandWithGreitens https://t.co/gMFRZVCvSk</t>
  </si>
  <si>
    <t>@rlippmann MO mediamob suppresses the findings on KS aka #KatrinaKittyAnneSneed's phone about her communication with democRAT MO Rep @staceynewman revealing the coersion to a crime by #molegislator
https://t.co/WViONdVtOh
#GreitensWitchHunt is a MISSOURI CRIME SCENE</t>
  </si>
  <si>
    <t>RT @TomJEstes: It’s time to put pressure on the stations that carry Scott’s show. No network should be airing a TV show who’s host is evadi…</t>
  </si>
  <si>
    <t>RT @magathemaga1: Money Bag Man Still On The RUN!
Scott Faughn still MIA &amp;amp; with #Missouri not knowing where source 4 money 2 #MoneyBagsAl…</t>
  </si>
  <si>
    <t>RT @TomJEstes: Well done, Mr. President. https://t.co/9pdQyvLHjd</t>
  </si>
  <si>
    <t>RT @magathemaga1: Good Morning #MoLeg
We need to talk
We still dont know where Scott Faughn is
We still dont know where the money came f…</t>
  </si>
  <si>
    <t>RT @magathemaga1: Waiting 4 @ScottCharton to get off phone with @scottfaughn as they figure how 2 spin latest news showing this 2 be scam a…</t>
  </si>
  <si>
    <t>RT @MariaChappelleN: Where's @scottfaughn? 
[I can't take credit for this great puzzle. It does need amplification.] #moleg https://t.co/Kx…</t>
  </si>
  <si>
    <t>RT @magathemaga1: Hi #moleg
1. No Photo
2. Find Scotty!
3. #MoGov COUP!
4. Moleg Collusion with #KimShady
5. Inconsistent testimony (she l…</t>
  </si>
  <si>
    <t>RT @TomJEstes: The situation with @scottfaughn continues to get more serious. Thanks you to @MariaChappelleN for bringing attention to this…</t>
  </si>
  <si>
    <t>RT @ChrisHayesTV: Judge tore into CAO paid consultant Ronald Sullivan, who laughed after a ruling. Judge said, "I'm not impressed with your…</t>
  </si>
  <si>
    <t>RT @JW1057: @jrosenbaum You can make a murder case without a body. You still need evidence the person existed; there is no evidence the pho…</t>
  </si>
  <si>
    <t>RT @JW1057: @scottawilsons @jrosenbaum No evidence of deletion on 3/21 either.</t>
  </si>
  <si>
    <t>RT @JW1057: @scottawilsons @SKOLBLUE1 @jrosenbaum I love the endless speculation. We know Kitty has a bad memory and has perjured herself.…</t>
  </si>
  <si>
    <t>RT @JW1057: @StoryoftheYear Phil is the ex-husband of the woman involved in the #Greitens affair. Phil exposed his ex-wife's personal busin…</t>
  </si>
  <si>
    <t>RT @JW1057: @KRCG13 Now they are going to try and taint the jury itself during trial. They are going to hold hearing when @EricGreitens can…</t>
  </si>
  <si>
    <t>@aliemalie @EricGreitens @staceynewman @kimgardner77th Out of the ranks of Jeff City reporters: 
More revealing article proves the points about corrupt #MoLeg &amp;amp; corrupt #MissouriTimes #ScottFaughn - the guy that paid #MoneyBagAl Al Watkins, crooked slimy lawyer of the cheating husband Phil Sneed attacking Governor Greitens #WitchHunt</t>
  </si>
  <si>
    <t>@aliemalie @EricGreitens @staceynewman @kimgardner77th SUSPICIOUS: These 'PuritanApostles' want to use "moral turpitude" against the Governor? Time to unravel the "moral turpitude" of each of these  #MoLeg #MoGov #MOSen #MOGOP 
This reporter seams to know something about these crooked politicians
https://t.co/jjECvNsTwh</t>
  </si>
  <si>
    <t>@aliemalie @EricGreitens @staceynewman @kimgardner77th https://t.co/XvolVeZUkb Missouri Crimes</t>
  </si>
  <si>
    <t>@aliemalie @EricGreitens #KatrinaKittyAnnSneed is not a victim but a shameless whore and so is her 2x exhusband #PhillipSneed that the whoremedia and corrupt democRATs @staceynewman @kimgardner77th are using to undo a legal election - another form of ELECTION RIGGING #Felony
https://t.co/WViONdVtOh</t>
  </si>
  <si>
    <t>#GreitensWitchHunt is a MISSOURI CRIME SCENE
The real criminals are DemocRAT MO Rep @staceyneman @stlcao @kimgardner77th with accomplices in #MoLeg #MoGov #MOSenate kicked by their own Moral Turpitude
Prosecute them all #AbuseOfPower #StealingOfTaxfunds https://t.co/Br2jEyKq2e</t>
  </si>
  <si>
    <t>RT @CStamper_: Not one of 16,000 photos is of the alleged victim AND there is no photo that any photo was even taken on the date in questio…</t>
  </si>
  <si>
    <t>@ChrisHayesTV The real criminals are @staceynewman and @kimgardner77th @AGJoshHawley supported by stripped elitist #MoLeg #MoGov #MOSenate 
If we allow this without prosecutorial consequences we are setting us up for more destruction of our justice system</t>
  </si>
  <si>
    <t>@ChrisHayesTV On the other hand the MO mediamob suppresses the findings on KS aka #KatrinaKittyAnneSneed's phone about her communication with democRAT MO Rep @staceynewman revealing the coersion to a crime by #molegislator
https://t.co/WViONdVtOh</t>
  </si>
  <si>
    <t>RT @JW1057: @ChrisHayesTV End the witch hunt against @EricGreitens! There isn't evidence against him. Stop wasting taxpayer money and the c…</t>
  </si>
  <si>
    <t>RT @ChrisHayesTV: We now know what forensic experts found on the Governor's phone. According to the defense, 16,000 images were reviewed &amp;amp;…</t>
  </si>
  <si>
    <t>RT @AfD: +++ Bayerische #SPD von allen guten Geistern verlassen! +++
Den sicheren Untergang ihrer Partei deutlich vor Augen, verlieren offe…</t>
  </si>
  <si>
    <t>RT @Lrihendry: Dear Maxine Waters, Nancy Pelosi, and Chuck Schumer please put America first for once in your entire career. RETIRE!</t>
  </si>
  <si>
    <t>RT @thebradfordfile: Did the FBI frame Trump?
Did the FBI commit treason?
Did the FBI work for Hillary?
Did the FBI listen to Comey?
Di…</t>
  </si>
  <si>
    <t>RT @GrrrGraphics: Your #FridayFlashback #BenGarrison #cartoon- Bear-ack #Obama FBI had spy inside #Trump Campaign- and still found no Russi…</t>
  </si>
  <si>
    <t>RT @CStamper_: Soros-backed Kim Gardner’s witch hunt is so chock-full of abuses, unethical conduct and outright illegality that she had to…</t>
  </si>
  <si>
    <t>RT @RealJack: WATCH: Trump Supporter Goes Viral For Schooling CA City Council On Immigration, Audience ERUPTS https://t.co/bmi2QNEIRb</t>
  </si>
  <si>
    <t>RT @PaulLee85: We dodged this disaster! So glad Trump is our President. https://t.co/b0kJqkiAzS</t>
  </si>
  <si>
    <t>RT @BackThePolice: Never forget those who gave all. https://t.co/1Rmc4wopWG</t>
  </si>
  <si>
    <t>RT @ResignNowKim: @ES03784893 @EricGreitens @scottfaughn @staceynewman @MOEthics Haha.  What’s a matta, ES, sounds like you’re tryin’ to co…</t>
  </si>
  <si>
    <t>RT @ResignNowKim: @ES03784893 @EricGreitens Juuust keep tellin yourself that. As the #shitshow photo prosecution implodes live, I think #mo…</t>
  </si>
  <si>
    <t>RT @charliekirk11: The left destroys everything it touches 
Cultural marxists are determined to destabilize western society via our cultur…</t>
  </si>
  <si>
    <t>RT @StephenMilIer: I have no idea why the Russians would want to spend the time and energy to undermine our elections, when the FBI is doin…</t>
  </si>
  <si>
    <t>RT @JacobAWohl: https://t.co/G0hzybaiXH</t>
  </si>
  <si>
    <t>RT @1776Stonewall: Would you like to hear how dumb liberals are? This woman on MSNBC said that Trump greeting the released hostages was a p…</t>
  </si>
  <si>
    <t>RT @ZibaLady1: Prince #RezaPahlavi is Iranians best hope for a regime change &amp;amp; #FreeIran
“The solution won’t come from making or breaking…</t>
  </si>
  <si>
    <t>RT @superyayadize: Good #RedFriday morning patriots! Thank a vet &amp;amp; wear RED in honor of Armed Services Personnel deployed worldwide! Rememb…</t>
  </si>
  <si>
    <t>RT @President1Trump: #WATCH: @CNN’s own law analyst Jeffrey Toobin tell the panel the payments to Michael Cohen are not illegal! More #Fake…</t>
  </si>
  <si>
    <t>The Left drowning in their spins - satire but true
https://t.co/Xd8wpuxDx8 https://t.co/9opJyn3OuF</t>
  </si>
  <si>
    <t>RT @USMC_Michaels: Video of the Day: Watch Nancy Pelosi claim tax cut was 'uh milli-, uh billi-, uh a trillion and a half' dollars https://…</t>
  </si>
  <si>
    <t>RT @TheLastRefuge2: If my suspicions are correct, this is what the DOJ is hiding when they redacted Chairman @DevinNunes report on Russian…</t>
  </si>
  <si>
    <t>RT @ClareMLopez: Streets of Jerusalem are festooned w/American &amp;amp; Israeli flags plus big posters hailing  Pres. Trump as a ‘Friend of Zion’…</t>
  </si>
  <si>
    <t>RT @CStamper_: In both D.C. and Missouri, “prosecutors are pursuing a sitting Republican executive with criminal or potentially criminal ch…</t>
  </si>
  <si>
    <t>🚨⚡️MISSOURI CRIME SCENE #GreitensWitchHunt ⛔️
DemocRAT MO Rep @staceynewman coercing false accusations to bring down a legally elected #Greitens🗽 - another form of ELECTION RIGGING! #Felony🔥
💥Indict @staceynewman @kimgardner77th 🚔
#moleg #mogov #MOSen
#IStandWithGreitens https://t.co/6FohgEXNMh</t>
  </si>
  <si>
    <t>🚨⚡️MISSOURI CRIME SCENE #GreitensWitchHunt ⛔️
DemocRAT MO Rep @staceynewman coercing false accusations to bring down a legally elected #Greitens🗽 - another form of ELECTION RIGGING! #Felony🔥
💥Indict @staceynewman @kimgardner77th 🚔
#moleg #mogov #MOSen
#IStandWithGreitens https://t.co/cnn6G6eBQJ</t>
  </si>
  <si>
    <t>RT @RealTravisCook: Well would you look at that--#Austraia's gun confiscation didn't work.  7 victims were sitting ducks because they weren…</t>
  </si>
  <si>
    <t>RT @Sticknstones4: 5 Fun Facts about ME
I’m Not a Bot 
I’ve Never Driven Drunk
I’ve Never had any Felonies or been arrested 
I’ve never…</t>
  </si>
  <si>
    <t>RT @ResignNowKim: @VirginiaYoung @jacobbarker @PostDispatchbiz Oddly enough, those corporate welfare clowns had the rug pulled out from und…</t>
  </si>
  <si>
    <t>RT @ResignNowKim: @CDTCivilWar @VirginiaYoung @HawleyMO @clairecmc Funny: I blame higher Ed for @HawleyMO . #HeeHawHawley</t>
  </si>
  <si>
    <t>RT @ResignNowKim: @JaneDueker 1) @kcstar @KCStarOpinion doesn’t know the universe of evidence extant. If she liked playing around and snatc…</t>
  </si>
  <si>
    <t>@ResignNowKim @JaneDueker @staceynewman @stlcao Indict RepStaceyNewman @staceynewman
Indict @kimgardner77th and disbar for live</t>
  </si>
  <si>
    <t>@ResignNowKim @JaneDueker @staceynewman @stlcao #MeltdownJane, BC THE TRUTH IS REVEALED THAT #KatrinaKittyAnneSneed is whoring around, no victim but used as tool 4corrupt democRAT #MoLeg #StaceyNewmann to bring down a legally elected #Greitens - another form of election rigging #Felony! 
R U accomplice?
https://t.co/WViONdDSWJ</t>
  </si>
  <si>
    <t>RT @ResignNowKim: @JaneDueker 1) there is no allegation of sexual assault; 2) Kitty has no evidence of photo; 3) she returned repeatedly- f…</t>
  </si>
  <si>
    <t>RT @ResignNowKim: @ES03784893 @EricGreitens @MOEthics @HereLiesMoon @scottfaughn @staceynewman @stlcao #Fail dierker already admitted that…</t>
  </si>
  <si>
    <t>RT @ResignNowKim: @ES03784893 @EricGreitens @MOEthics Ah! Good to see you’ve conceded defeat on the #bullshit @hereliesmoon / @scottfaughn…</t>
  </si>
  <si>
    <t>RT @chinyamy: #GreitensTrial It's unfortunate that Missouri does not still have the alienation of affection tort; Mrs. Greitens should be a…</t>
  </si>
  <si>
    <t>RT @memoriadei: You dont know God?  If you have to wonder let me help.  God requires us to love even those who do us wrong.  In this case y…</t>
  </si>
  <si>
    <t>RT @memoriadei: Actually I do.  But I am seeing a lot of people who dont https://t.co/pUVJL00Er2</t>
  </si>
  <si>
    <t>RT @jjordancox: I’m saying this now. Etch it in stone. 
@realDonaldTrump will win in 2020 carrying more than 400 electoral votes. 
1 year…</t>
  </si>
  <si>
    <t>RT @memoriadei: #mogov this railroad of #GreitensTrial has made your voters angry because you have proven our votes dont count.  You boast…</t>
  </si>
  <si>
    <t>RT @Jesus_isPeace: The Four Shocking Messages That Reveal The #Democrat #WitchHunt Against #Republican #GovEricGreitens
#MOLeg #MOSen #Mis…</t>
  </si>
  <si>
    <t>RT @ResignNowKim: @jmannies Meh. Despite her best scare quotes, we shall overcome. https://t.co/dG4AkrlbMA</t>
  </si>
  <si>
    <t>RT @ResignNowKim: @jmannies Where’s the allegation of sex assault, Jo?  It’s not there.  Where’s the allegation it wasn’t consensual- not t…</t>
  </si>
  <si>
    <t>RT @sigi_hill: @jmannies Hey #FakeMediaMob Let's expose the real criminals: DemocRAT MO Rep #StaceyNewman coercing false accusations to bri…</t>
  </si>
  <si>
    <t>@jmannies Hey #FakeMediaMob Let's expose the real criminals: DemocRAT MO Rep #StaceyNewman coercing false accusations to bring down a legally elected #Greitens - another form of election rigging!
https://t.co/WViONdDSWJ</t>
  </si>
  <si>
    <t>RT @RaheemKassam: 🔥🔥🔥 https://t.co/WmqVMhfiMx</t>
  </si>
  <si>
    <t>@MunSecConf @ischinger @morgenmagazin Hahahahahaha, die letzten Zuckungen der verlierenden Globalisten Bande. Glaubt Ihr Ihr könnt Deutschland den Erfolg von Präsident Trump unterschlagen? Siehe NoKo, um nur ein Beispiel zu nennen! #NobelPeacePrize für @realdDonaldTrump
#AfDimBundestag einzige Hoffnung für 🇩🇪</t>
  </si>
  <si>
    <t>RT @ResignNowKim: @RGreggKeller @stlcao @staceynewman @johnrhancock @MissouriGOP @BarklageCompany @scottfaughn @rexsinquefield @jrosenbaum…</t>
  </si>
  <si>
    <t>RT @ResignNowKim: @RGreggKeller Don’t delude yourselves #moleg . This man is paid to spew #bullshit.  I’m a common man &amp;amp; don’t like getting…</t>
  </si>
  <si>
    <t>@BenWeinthal @ischinger @RichardGrenell @TeraEuro @realDonaldTrump No surprise, Merkel and her cartell are backstabbing communists to suit their corrupt traitor #ConmanObama and #ClintonMafia</t>
  </si>
  <si>
    <t>@DeppendorfU @ischinger @Andreas__Rinke @RichardGrenell @TeraEuro @realDonaldTrump Wahrheit tut weh, nicht war DeppendorfU? Nix mehr mit Korruption and unterm Tisch absahnen! Deutschland wird @RichardGrenell dankbar sein.</t>
  </si>
  <si>
    <t>@ischinger @RichardGrenell @TeraEuro @realDonaldTrump Warum hat Deutchland noch immer keinen FRIEDENSVERTRAG, 70 Jahre nach Kriegsende! Soviel zu Ihrer 'Vaterlandsliebe'!
@RichardGrenell thank you for delivering President Trump's message and truth, for being a light for the German people that also Germany can be Great Again!</t>
  </si>
  <si>
    <t>@ischinger @RichardGrenell @TeraEuro @realDonaldTrump wenn hinterhältig hintergehen Sie Pres. Trump #NAFTA #IranDeal um ihr wirtschaftliches Versagen aufgepeppelt zu halten &amp;amp; das deutsche Volk ebenfalls schamlos auszurauben.
#AfDimBundestag die einzige Hoffnung für 🇩🇪
#Merkelmussweg samt #KartellParteien</t>
  </si>
  <si>
    <t>@ischinger @RichardGrenell @TeraEuro @realDonaldTrump ... Präsident Trump! Lange werden Sie Ihr Versagen nicht mehr verbergen können. Sie ignorieren die Stimmen der original deutschen Bevölkerung zugunsten Ihrer korrupten Bande. Sie wollen den Schutz der Amerikaner wenn es Ihnen in den Geldbeutel paßt,</t>
  </si>
  <si>
    <t>@ischinger @RichardGrenell @TeraEuro @realDonaldTrump Dank MerkelKartell &amp;amp; Genossen wie Ihnen ist aus dem stolzen aufrichtigen Deutchland ein kommunistischer Verräter geworden. Sie sind nur wütend weil Ihre globalisten Mafia entblößt werden und zur Ordnung gerufen werden von einem beispiellos besten Präsidenten in der Geschichte.</t>
  </si>
  <si>
    <t>RT @ComfortablySmug: Trump needs to slow down or he's gonna have nothing left to fix by Christmas!
(Which thanks to president Trump we can…</t>
  </si>
  <si>
    <t>RT @DonaldJTrumpJr: Wow. I wonder if these are the guys Obama have back in exchange for Bergdahl? The count for the past 12 hours is pretty…</t>
  </si>
  <si>
    <t>RT @realDonaldTrump: For those few people knocking me for tweeting at three o'clock in the morning, at least you know I will be there, awak…</t>
  </si>
  <si>
    <t>RT @DonaldJTrumpJr: I have a strange suspicion that we’re not going to give these guys back. 
#winning https://t.co/SoyLcmwH9G</t>
  </si>
  <si>
    <t>RT @PressSec: .@SecPompeo briefs @POTUS on his trip to North Korea just before the returnees land at JBA. https://t.co/vJQVjqokVl</t>
  </si>
  <si>
    <t>RT @PressSec: A night we will all remember. Thankful to live in America. https://t.co/VbDrpUG5Yg</t>
  </si>
  <si>
    <t>RT @Scavino45: Beautiful photo! WELCOME HOME!! https://t.co/UjlQg1oyQI</t>
  </si>
  <si>
    <t>RT @Scavino45: May 10, 2018 | 3:00amE
History at Joint Base Andrews... https://t.co/8P98fRI9WV</t>
  </si>
  <si>
    <t>RT @Scavino45: May 10, 2018 | 3:05amE
Behind-the-scenes atmosphere at Joint Base Andrews — on this early historical morning... https://t.co…</t>
  </si>
  <si>
    <t>RT @Scavino45: God Bless the U.S.A.🇺🇸 https://t.co/LlLuWNWWz1</t>
  </si>
  <si>
    <t>RT @realDonaldTrump: Thank you Indiana! #MAGA🇺🇸
https://t.co/fCv76VyUax</t>
  </si>
  <si>
    <t>RT @realDonaldTrump: The highly anticipated meeting between Kim Jong Un and myself will take place in Singapore on June 12th. We will both…</t>
  </si>
  <si>
    <t>RT @realDonaldTrump: Five Most Wanted leaders of ISIS just captured!</t>
  </si>
  <si>
    <t>RT @realDonaldTrump: Senator Cryin’ Chuck Schumer fought hard against the Bad Iran Deal, even going at it with President Obama, &amp;amp; then Vote…</t>
  </si>
  <si>
    <t>RT @realDonaldTrump: On behalf of the American people, WELCOME HOME! https://t.co/hISaCI95CB</t>
  </si>
  <si>
    <t>RT @SaraCarterDC: Must Read: @KimStrassel article on FBI’s source and why the DOJ is so reluctant to share the information...was there an F…</t>
  </si>
  <si>
    <t>RT @TomFitton: Fashion Icon Karl Lagerfeld Blasts Germany's Open Borders: 'If This Keeps Up, I'll Abandon German Citizenship' https://t.co/…</t>
  </si>
  <si>
    <t>RT @GovMikeHuckabee: I'm fine now, but they had to use the paddles on me 3x at Hadassah Medical Center in Israel to restart my heart after…</t>
  </si>
  <si>
    <t>RT @charliekirk11: Proof of citizenship and a photo ID should be required to vote in every election</t>
  </si>
  <si>
    <t>More winning: Trump announces capture of 'most wanted' ISIS terrorists
Brilliant @POTUS and #GenMattis https://t.co/PfKx5vOoet via @MailOnline</t>
  </si>
  <si>
    <t>RT @DonaldJTrumpJr: #metoo https://t.co/PffYgk6Q52</t>
  </si>
  <si>
    <t>@lillimere @ericbolling @realDonaldTrump ⚡️Bastard, go back in your hole. 
Eric Bolling, I am appalled about such a vile response. lilli... cannot be a human being.</t>
  </si>
  <si>
    <t>RT @DonaldJTrumpJr: Sounds about right. https://t.co/GypkZM91tU</t>
  </si>
  <si>
    <t>RT @PressSec: A positive gesture brings incredible news for three American families. https://t.co/t6uJU1MoqF</t>
  </si>
  <si>
    <t>RT @IvankaTrump: Today @POTUS signed an EO to promote military spouse hiring across ALL federal agencies. To our #MilitarySpouses: Your cou…</t>
  </si>
  <si>
    <t>RT @PressSec: .@POTUS lands at JBA to welcome home the three returnees - incredible night for America. https://t.co/SH2m9LoQ43</t>
  </si>
  <si>
    <t>RT @dougmillsnyt: .@realDonaldTrump greets the 3 freed American Hostages, Kim Dong-chul, Tony Kim and Kim Hak-song, at Joint Base Andrews,…</t>
  </si>
  <si>
    <t>RT @realDonaldTrump: #NationalDayOfPrayer https://t.co/nFUc3uyQL8</t>
  </si>
  <si>
    <t>RT @realDonaldTrump: Gina Haspel did a spectacular job today. There is nobody even close to run the CIA!</t>
  </si>
  <si>
    <t>@jonkarl You are not reporting, you are harassing, attacking, disrespecting, lying, slandering #Felony. You are paparazzi whore, the worst kind. A1 doesn't apply to you and you should be banned from WH like your ass colleague Brian Ross.</t>
  </si>
  <si>
    <t>Missouri Crime Scene
#Moleg #MoGov #MOSenate #GreitensWitchHunt
https://t.co/WViONdVtOh</t>
  </si>
  <si>
    <t>#GreitensStrong https://t.co/FGNGNY9ds8</t>
  </si>
  <si>
    <t>@HennessySTL Sounds like a Mueller-set-up, typical sewer.</t>
  </si>
  <si>
    <t>@dccc What kind of idiot and traitor hides behind such a shit? Move to Iran and knock yourself out with your buddy #ConmanObama and #HammerheadKerry</t>
  </si>
  <si>
    <t>RT @VisioDeiFromLA: Only person slut shaming is U
Rest of us view woman as strong &amp;amp; capable of making own sexual decisions. Which would ex…</t>
  </si>
  <si>
    <t>@RealTravisCook I suggested to some that Pompeo should have taken them along to NoKo to exchange them for labor camp prisoners.</t>
  </si>
  <si>
    <t>Absolutely True! https://t.co/FRGe0Vsw0Z</t>
  </si>
  <si>
    <t>@EricGreitens #GreitensStrong, My 💯 support for Governor @EricGreitens</t>
  </si>
  <si>
    <t>Commending our great conservative MO Governor @EricGreitens.
While #Moleg #MoGov sewer is trying hard through nefarious #witchhung to dismantle our legal election to hide their years of crimes against MO citizens, our Governor stays strong and focus on the job. #GreitensStrong https://t.co/lZqR5YBXkq</t>
  </si>
  <si>
    <t>RT @SKOLBLUE1: I see my boss in that meeting, well done! @EricGreitens you are doing a wonderful job! Thank you for your hard work and dedi…</t>
  </si>
  <si>
    <t>@Buschbeer2015 @ResignNowKim @Nanci2GH @VisioDeiFromLA @JW1057 @joelcurrier @HereLiesMoon @SheenaGreitens @EricGreitens @RealTravisCook @Avenge_mypeople @EdBigCon @SKOLBLUE1 @blackwidow07 @HennessySTL @SpeakerTimJones @Hope4Hopeless1 @Shawtypepelina @AWESOMECQ You are drunk or insane. #KittySneed is a whore like Stormy Daniels. No Mercy for her. Her husband is failed rocker/off the rocker that competed w wife in cheating, brags abt 9 kids. No Mercy for him.He owes alimony. Both are out to get rich w help of corrupt Kim Gardner &amp;amp; #MoLeg</t>
  </si>
  <si>
    <t>RT @RealTravisCook: Hey now--the kitty (Sneed, that is) screwed the Governor just as much as he screwed her.  She's just as much to blame f…</t>
  </si>
  <si>
    <t>RT @ResignNowKim: @RealTravisCook @Norasmith1000 True- but it’s also about the opportunism of the leadership of both political parties and…</t>
  </si>
  <si>
    <t>The corruption of Kim Gardner, the crooked St.Louis Circuit Attorney, screams to the heavens.
#DisbarKimGardner
#Greitens https://t.co/ZxiSfyzupu</t>
  </si>
  <si>
    <t>@Sticknstones4 Where did this crook get her education/license?</t>
  </si>
  <si>
    <t>RT @StephenMilIer: By the time the elections will come around, the massive 'Blue Wave' will look like it was bleachbit'ed together with Hil…</t>
  </si>
  <si>
    <t>RT @BartRobinson15: @Jali_Cat @AGSchneiderman @SenGillibrand @HillaryClinton @ClintonFdn @allisonmack  https://t.co/iEGeEvTqqW</t>
  </si>
  <si>
    <t>RT @Jali_Cat: 👆🏻👆🏻👆🏻👆🏻 #WeThePeople want him investigated @HouseIntelComm @GOPoversight @DHSgov @TheJusticeDept @jeffsessions @SecPompeo @D…</t>
  </si>
  <si>
    <t>RT @Jali_Cat: One month ago @AGSchneiderman suspended the NY investigation of the #Nxivm sex cult...
Was he afraid TRUTH would come out ab…</t>
  </si>
  <si>
    <t>RT @SebGorka: .@SecPompeo returning with American hostages from North Korea. 
With just this one act @realDonaldTrump has achieved more th…</t>
  </si>
  <si>
    <t>RT @JoanneTirado09: @Chicago1Ray @SebGorka @dbongino  https://t.co/s2LDgujoEo</t>
  </si>
  <si>
    <t>💯AGREED
🔘Stop WH briefings
🔘Ban disrespectful bullying lying reporters https://t.co/XS4RucUylj</t>
  </si>
  <si>
    <t>RT @USA_AllenK: .
🔴John Kerry’s Spokesperson Just Admitted He Is Actively Violating The Logan Act.
.
🔊 ARREST JOHN KERRY ALREADY...!
These…</t>
  </si>
  <si>
    <t>RT @MAGANinaJo: Thank you IN, NC, OH and WV for a great turnout yesterday!  Congrats to all the winners, and we will be supporting you all…</t>
  </si>
  <si>
    <t>RT @realDonaldTrump: Looking forward to greeting the Hostages (no longer) at 2:00 A.M.</t>
  </si>
  <si>
    <t>RT @realDonaldTrump: The Failing New York Times criticized Secretary of State Pompeo for being AWOL (missing), when in fact he was flying t…</t>
  </si>
  <si>
    <t>RT @TomFitton: More tarmac records!  After two years, the DOJ/FBI finally admits it has text msgs and other newly "found" records on Clinto…</t>
  </si>
  <si>
    <t>RT @gr8tjude: Great News💥 Pence’s brother wins Indiana primary!
#RedWaveRising2018 
https://t.co/RgSmYV7xfQ</t>
  </si>
  <si>
    <t>RT @WhiteHouse: A number of public officials have put country above party to support Gina Haspel’s nomination. The Senate should agree and…</t>
  </si>
  <si>
    <t>RT @RealTT2020: I find it highly disturbing that California is trying to normalize cannibalism given the information we are all now aware o…</t>
  </si>
  <si>
    <t>RT @Sheckyi: 😂😂😂😂😂😂😂😂😂
PRETTY MUCH ALL THAT’S LEFT... https://t.co/6Q3p1Hgkzd</t>
  </si>
  <si>
    <t>RT @conny_conny1: It costs $180k every 4 months for heat and lighting at the mansion where @JustinTrudeau’s meals are prepared (but no one…</t>
  </si>
  <si>
    <t>RT @Dr_Kaco: My Great City of SANTA CLARITA CA will NOT be a sanctuary city for #ILLEGALALIENS 😡
God bless this #MAGA woman of the SCV 😎👊
🙏…</t>
  </si>
  <si>
    <t>Aufwachen Deutschland!
#Merkelmussweg mit samt ihrem #KartellParteienMob 
#AfDimBundestag einzige Hoffnung  für Deutschland https://t.co/4Ec7eS8Nz5</t>
  </si>
  <si>
    <t>RT @JoyceDurand5: @realDonaldTrump I'll be setting my alarm for 2 am. 
Thankful our @potus is going to be there to welcome home the "guests…</t>
  </si>
  <si>
    <t>RT @LionelMedia: I’ll be hosting the Fourth Hour of @RealAlexJones and @infowars at 3PM ET. I’ll be discussing Sicko #Schneiderman as a lim…</t>
  </si>
  <si>
    <t>@MarkWarner - the picture moral turpitude https://t.co/qEMcLUckeH</t>
  </si>
  <si>
    <t>Into the face of #ConmanObama and the #DNCMediaMob https://t.co/NDz9yuHzsP</t>
  </si>
  <si>
    <t>RT @SebGorka: Without even ONE pallet of taxpayer cash being handed over to the bad guys. https://t.co/DefU4sJZeH</t>
  </si>
  <si>
    <t>Exposing nefarious losers enemies of America @SenSchumer @NancyPelosi #MediaMafia #DNChenchmen @Acosta @CNN @ABC @CBS @NBC @NPR @MSNBC STFU and support #MAGA or leave America
https://t.co/YtIpDyaK5D</t>
  </si>
  <si>
    <t>😍🤩So very proud of our @POTUS @realDonaldTrump https://t.co/HeijJoQrky</t>
  </si>
  <si>
    <t>Congratulations Mr. President @realDonaldTrump 
No other President has achieved what you have achieved
💯support, we have your back!
#NorthKorea 
#IranNuclearDeal 
#ParisAccord
#NobelPeacePrize for @realDonaldTrump https://t.co/KiAgrqsZBK</t>
  </si>
  <si>
    <t>RT @realDonaldTrump: Congratulations to Mike Dewine on his big win in the Great State of Ohio. He will be a great Governor with a heavy foc…</t>
  </si>
  <si>
    <t>RT @realDonaldTrump: Candace Owens of Turning Point USA is having a big impact on politics in our Country. She represents an ever expanding…</t>
  </si>
  <si>
    <t>Yes, Mr. President @realDonaldTrump BAN ANY disrespective hatred attackers liars @Acosta @CNN @ABC @CBS @NBC @NPR @MSNBC incl. foreign media reps from WH press corps! https://t.co/r129GhpsE9</t>
  </si>
  <si>
    <t>RT @realDonaldTrump: The Republican Party had a great night. Tremendous voter energy and excitement, and all candidates are those who have…</t>
  </si>
  <si>
    <t>RT @Farberyanki: Have you ever seen Israeli Knesset members burn the Palestinian flag or the Iranian flag in the Knesset?
@realDonaldTrump…</t>
  </si>
  <si>
    <t>RT @TrumpsDC: And NOBODY could have done this but President Donald J Trump!!
Bravo Mr. President! 👏👏👏
Obama, Hillary and ALL of the corru…</t>
  </si>
  <si>
    <t>RT @kwilli1046: Lets get this straight. NY Attorney General Eric #Schneiderman is accused by four women of violent physical abuse. The same…</t>
  </si>
  <si>
    <t>RT @Jarjarbug: By her testimony #GinaHaspel is precisely what we expect and hope from our Govt officials .... she’s sharp and she’s even sc…</t>
  </si>
  <si>
    <t>RT @FoxBusiness: "I don't have any social media accounts, but otherwise I think you'll find me to be a typical middle-class American."
Gin…</t>
  </si>
  <si>
    <t>@LaurenTrager @KMOV @HafnerMO @EricGreitens @missioncontinue ...“STL Circuit Attorney Kim Gardner, she said you can have your attorney call her.”
@LaurenTrager is your intend/orders to influence the public with false reporting to eliminate a fair trial for Gov. #Greitens? #FakeNews</t>
  </si>
  <si>
    <t>@LaurenTrager @KMOV @HafnerMO @EricGreitens @missioncontinue Why don't you report the revealing Kitty Sneeds text messages, are you leaving that out on purpose?
Corrupt #DemocRAT #MORepStaceyNewman #MoLeg texted alleged victim “my House Dem leadership insist you need a lawyer fast.” Motion says same Rep texted a week later-</t>
  </si>
  <si>
    <t>RT @liberty1776son: @LaurenTrager @KMOV @HafnerMO @EricGreitens @missioncontinue We know he used the donor to collect funds, but what you'r…</t>
  </si>
  <si>
    <t>RT @HennessySTL: Meet the Mole: @HafnerMO. Will he feel the pressure leaning on him all at once or gradually over time? https://t.co/IRbSZl…</t>
  </si>
  <si>
    <t>RT @ResignNowKim: @HennessySTL So, this @michaelfhafner worked for @BarklageCompany and prior to that for the Regional Business Council, &amp;amp;…</t>
  </si>
  <si>
    <t>RT @HennessySTL: The way I heard it was Grietens fired Hafner when the campaign found out David Barklage inserted Hafner as a mole. Barklag…</t>
  </si>
  <si>
    <t>@ABCWorldNews @PierreTABC You are the perfect porn paparazzi, racists, 🤮</t>
  </si>
  <si>
    <t>@TerryMoran You have an all brown vision 💩</t>
  </si>
  <si>
    <t>@ABCWorldNews @jonkarl Your fallen king Obamba is going to be erased 😂
And you should be prosecuted for collusion😆 you ClintonBagMan</t>
  </si>
  <si>
    <t>@JohnParisella @ABCWorldNews @jonkarl @realDonaldTrump Who would use a dumb ass advisor like you. Go hold hands with your soy boy Justeeeeeeen🤣🤣🤣🤣 https://t.co/4e9XsIyUtB</t>
  </si>
  <si>
    <t>@jonkarl @realDonaldTrump Awe, and you were not invited 🐀😂paparazzi?
Pompeo should have taken all your rats asses with him and deliver you to the NoKo labor camps. You should fill in for the released real Americans</t>
  </si>
  <si>
    <t>RT @WhiteHouse: President Trump was in Cleveland, OH on Saturday talking with local residents about the impact of his Dec. tax cuts legisla…</t>
  </si>
  <si>
    <t>RT @WhiteHouse: Gina Haspel joined the CIA in the waning days of the Cold War. Years later, with the fight against al Qaeda heating up, she…</t>
  </si>
  <si>
    <t>RT @WhiteHouse: Gina Haspel is the best choice for CIA Director: https://t.co/nK7zwbeAQW</t>
  </si>
  <si>
    <t>RT @WhiteHouse: JUST RELEASED: Presidential Delegation for the opening of the United States Embassy in Jerusalem, Israel to include Deputy…</t>
  </si>
  <si>
    <t>RT @FLOTUS: #BeBest 🇺🇸 https://t.co/ziI09BW4i1</t>
  </si>
  <si>
    <t>RT @WhiteHouse: "So today I’m very excited to announce Be Best, an awareness campaign dedicated to the most valuable and fragile among us,…</t>
  </si>
  <si>
    <t>RT @WhiteHouse: "Today we pledge to Be Best. Best for our families, best for our communities and best for our nation. And now I am proud to…</t>
  </si>
  <si>
    <t>RT @PressSec: Opioids, social media use and mental and physical well-being are all major issues our children face. Go visit https://t.co/pp…</t>
  </si>
  <si>
    <t>RT @WhiteHouse: Mark S. Sparkman in The Hill: “When the U.S. Senate confirms Ms. Haspel, it will be a proud day for the agency and our nati…</t>
  </si>
  <si>
    <t>RT @WhiteHouse: President Trump is requesting that Congress rescind billions of dollars in excessive spending. https://t.co/N8l6pvBv2q</t>
  </si>
  <si>
    <t>RT @FLOTUS: Thank you to all who attended yesterday’s launch of #BeBest. I will continue focusing on ways to help children be their best se…</t>
  </si>
  <si>
    <t>RT @PressSec: America needs a strong leader at the CIA! Gina Haspel has spent 33 years protecting the homeland. She has the experience. She…</t>
  </si>
  <si>
    <t>RT @DevinNunes: Honored to meet with the Israeli Ambassador today. Need to hold Iran accountable for the deaths of US Military personnel an…</t>
  </si>
  <si>
    <t>RT @ResignNowKim: @sigi_hill @GovGreitensMO @staceynewman was working w @KimGardnerSTL RE @EricGreitens prosecution. https://t.co/lTuYB0Bw6d</t>
  </si>
  <si>
    <t>RT @VISITKRD: @RealMAGASteve @sigi_hill OOPS! https://t.co/RBiKlD4cKH</t>
  </si>
  <si>
    <t>RT @HotPokerPrinces: @ResignNowKim @magathemaga1 @sigi_hill @SKOLBLUE1 @Sticknstones4 @RealTravisCook @Shawtypepelina @jrosenbaum @Hennessy…</t>
  </si>
  <si>
    <t>RT @ResignNowKim: @magathemaga1 @sigi_hill @SKOLBLUE1 @Sticknstones4 @RealTravisCook @Shawtypepelina @jrosenbaum @HotPokerPrinces @Hennessy…</t>
  </si>
  <si>
    <t>RT @AnthemRespect: #WhoopiGoldberg, your race card expired Nov. 8, 2016. It’s Deactivated.
👉News Flash, African-Americans are Americans, so…</t>
  </si>
  <si>
    <t>RT @DianneSharp19: @AnthemRespect  https://t.co/dtQFbxXu0m</t>
  </si>
  <si>
    <t>RT @VisioDeiFromLA: (38) I'm seeing too many people in the media and on the democrat side NOT QUESTIONING the EXTREME SHADINESS of how this…</t>
  </si>
  <si>
    <t>@koolosko @WhiteHouse I grew up in Germany &amp;amp; remember the last Shah, also the inciting ayatollah in exile in London, how this terrorist reversed modern Persia into a dangerous shithole. The current GER gov Merkel &amp;amp; cohorts EU only stand for Iran bc they backstab the US, Iran is their alternate economy</t>
  </si>
  <si>
    <t>RT @realDonaldTrump: Gina Haspel, my highly respected nominee to lead the CIA, is being praised for the fact that she has been, and alway w…</t>
  </si>
  <si>
    <t>RT @realDonaldTrump: I will be speaking to my friend, President Xi of China, this morning at 8:30. The primary topics will be Trade, where…</t>
  </si>
  <si>
    <t>RT @realDonaldTrump: John Kerry can’t get over the fact that he had his chance and blew it! Stay away from negotiations John, you are hurti…</t>
  </si>
  <si>
    <t>RT @realDonaldTrump: Statement on the Iran Nuclear Deal: https://t.co/O3SpryCKkc</t>
  </si>
  <si>
    <t>RT @WhiteHouse: "At the heart of the Iran deal was a giant fiction: that a murderous regime desired only a peaceful nuclear energy program.…</t>
  </si>
  <si>
    <t>RT @WhiteHouse: "Finally, I want to deliver a message to the long-suffering people of Iran. The people of America stand with you." https://…</t>
  </si>
  <si>
    <t>Thank You Mr. President @realDonaldTrump for #IranDealWithdrawal 
So proud that Donald J. Trump is our President of America !
💯standing by my President!
#MAGA https://t.co/TCf9ugdsnb</t>
  </si>
  <si>
    <t>RT @SteveScalise: I’m glad @realDonaldTrump made the decision to withdraw from the failed Iran nuclear deal. See my full statement below ⬇️…</t>
  </si>
  <si>
    <t>RT @RealJack: General Flynn has conversations with foreign leaders as he’s transitioning into the White House.
His life gets ruined.
John…</t>
  </si>
  <si>
    <t>#EricSchneiderman is another perverted criminal mafia #DemocRATs https://t.co/KLklQ9A2FK</t>
  </si>
  <si>
    <t>RT @TomFitton: Stormy Daniels isn't much of a scandal for @RealDonaldTrump and certainly was no reason for Mueller to orchestrate a raid of…</t>
  </si>
  <si>
    <t>RT @charliekirk11: Did you know: 
World of Warcraft currency is worth 7 times as much as Venezuelan cash? 
The problem with Venezuela is…</t>
  </si>
  <si>
    <t>RT @davereaboi: Hells yeah. You wanted crazy, I’ll give you crazy. https://t.co/H6N9fnMGlk</t>
  </si>
  <si>
    <t>RT @Pink_About_it: Nothing speaks volumes on feminism more than Michelle Obama chastitizing women for not voting for their gender---
Obama…</t>
  </si>
  <si>
    <t>RT @IsraelUSAforevr: "In most parts of the world your identity and your fate are to a large extent handed to you; in America, you determine…</t>
  </si>
  <si>
    <t>Missouri Crime Scene
#Greitens #WitchHunt
Corrupt #Moleg #MoGov #MOSen #MOGOP #ImpeachMoLeg
Corrupt @stlcao @kimgardner77th #ProsecutorialMalfeasance #Perjury #Disbar https://t.co/ekLs8OWR1m</t>
  </si>
  <si>
    <t>@Nigel_Farage - rebuild England, be the Trump for UK! https://t.co/LBpa575Ifi</t>
  </si>
  <si>
    <t>RT @StephenMilIer: Iran: Death to America
Trump: Death to your deal</t>
  </si>
  <si>
    <t>BRILLIANT @FLOTUS !
It doesn't take a village to raise our children but a responsible balanced family, responsible moms and dads (not unbalanced trannies) 
#SupportFamily
#TakeDownKillarysDevastatingLegacy to destroy the family to transfer it to socialist teachers https://t.co/hrEuf3QYi1</t>
  </si>
  <si>
    <t>RT @JacobAWohl: Important Lesson: If you take on Donald Trump, you will lose. 
Jeb Bush learned this
Hillary Clinton learned this 
Mark Zu…</t>
  </si>
  <si>
    <t>RT @wattsjim: Another phony #TrumpHater bites the dust! He makes #HarveyWeinstein look like choir boy. #POS 
What is it with these N.Y. DEM…</t>
  </si>
  <si>
    <t>RT @Jamierodr10: GOOD MORNING PATRIOTS 🇺🇸🇺🇸           This 👇 Is A Movement! Praying For All Of You &amp;amp; President Trump This Morning!! @realDo…</t>
  </si>
  <si>
    <t>RT @charliekirk11: Never forget: the left does not fear the “damage” that Trump is causing this country. It is the fear of his success. 
I…</t>
  </si>
  <si>
    <t>RT @TrumpTrainMRA4: Michelle LaVaughn Robinson Obama
“ LET’S  M🍎VE “
Her Program Over 8 Years for Healthier Children...
Yesterday was KickO…</t>
  </si>
  <si>
    <t>BRADLEY MANNING IS A CONVICTED FELON CONVICTED BY COURT-MARTIAL OF ESPIONAGE 
YOU MUST BE A SICK DEMOCRAT TO ALLOW THIS ASS ON ANY BALLOT https://t.co/VLapUa4OVi</t>
  </si>
  <si>
    <t>RT @JackPosobiec: If Hillary had won, Bill Clinton, Anthony Weiner, and Eric Schneiderman would have complete access to the White House 
L…</t>
  </si>
  <si>
    <t>RT @dbongino: The Obama White House is entirely summed up by the fact that Ben Rhodes and Tommy Vietor worked in it.</t>
  </si>
  <si>
    <t>RT @PoliticallyRYT: Trump - Pardon Dinesh D’Souza - Indict Rosie O’Donnell for Multiple Illegal Campaign Donations
#ThisIsAmerica 
#Trump…</t>
  </si>
  <si>
    <t>RT @RealJack: There’s really only three things Democrats have done over the last year and a half.
Obstruct everything President Trump does…</t>
  </si>
  <si>
    <t>RT @DonaldJTrumpJr: It’s like he can see into the future... https://t.co/HEQS3ISRTe</t>
  </si>
  <si>
    <t>RT @StephenMilIer: Eric Schneiderman, who bragged about using his office for political gains, is now being investigated by a governor who's…</t>
  </si>
  <si>
    <t>RT @rektredpill: I made a list of all of the liberals who spent months trying to rek Roy Moore who are now outraged by #Schneiderman 
Here…</t>
  </si>
  <si>
    <t>RT @MilitaryEarth: RIP Mushe, thank you for your service. 😢🇺🇸 https://t.co/1SWuN1SxUl</t>
  </si>
  <si>
    <t>RT @charliekirk11: I care far more about whether congressmen used our tax dollars to settle sexual harassment claims than this stupid Storm…</t>
  </si>
  <si>
    <t>RT @Str8DonLemon: Good morning #moleg 
Where is Scott Faughn?
Where did his money come from?
FOLLOW THE MONEY
Notice certain people who…</t>
  </si>
  <si>
    <t>RT @JacobAWohl: Hillary seems to be wearing a back brace now — Not very Presidential https://t.co/vH7C0t7BKF</t>
  </si>
  <si>
    <t>Huge revelation of the massive corrupt democRAT mafia controlled NY sewer.Schneiderman,Cuomo,Clinton,DeBlasio,Gillibrand,Schumer et al. These 'progressive feminists' bathed in his celebrity live&amp;amp;protected this ass so he'd continue 2go after POTUS - NO MERCY #ProsecuteSchneiderman https://t.co/7xylSap6Qr</t>
  </si>
  <si>
    <t>@ArizonaKayte Huge revelation of the massive corrupt democRAT mafia controlled NY sewer.Schneiderman,Cuomo,Clinton,DeBlasio,Gillibrand,Schumer et al. These 'progressive feminists' bathed in his celebrity live&amp;amp;protected this ass so he'd continue 2go after POTUS - NO MERCY #ProsecuteSchneiderman https://t.co/qyjNlOnEpj</t>
  </si>
  <si>
    <t>RT @CollinRugg: Schneiderman was your typical “woman caring, gun control” liberal.
I guess the real reason he wanted to take away guns was…</t>
  </si>
  <si>
    <t>RT @DukePesta: DEFINITION OF LIBERAL HYPOCRISY
Calling a girl who wears a Chinese-inspired dress to prom a racist cultural appropriator,…</t>
  </si>
  <si>
    <t>RT @RealJack: Michelle Obama attacked women who voted Trump.
Eric Schneiderman &amp;amp; Harvey Weinstein were advocates of Women’s March, but ass…</t>
  </si>
  <si>
    <t>RT @Jamierodr10: The Media Is Constantly Attacking Our Beautiful &amp;amp; Amazing @FLOTUS! The #FakeNewsMedia Are Now Saying She’s “Not Culturally…</t>
  </si>
  <si>
    <t>RT @PhilMcCrackin44: I think I’ll just leave this here....
#MAGA 🇺🇸   #KAG 🇺🇸
#TheDashRiprock https://t.co/a9EsfkA0CG</t>
  </si>
  <si>
    <t>RT @BackThePolice: Good morning! https://t.co/HvNQgSWAGw</t>
  </si>
  <si>
    <t>RT @BackTheCops: Amen! https://t.co/DjvJQl8wjv</t>
  </si>
  <si>
    <t>RT @dbongino: Immediate open an investigation into John Kerry for Logan Act violations.  https://t.co/5AfGG6w4OW</t>
  </si>
  <si>
    <t>Yes, @realDonaldTrump knows all the sewer members by name that's why they attack our President and America for fear to be exposed
#DemocRATs are a criminal mafia perverts holding America in contempt, they only way they can stay afloat 
#RedWaveRising2018 #MAGA https://t.co/5Ert75ZVEV</t>
  </si>
  <si>
    <t>RT @DropTha_Mic25: There's someone involved in #Mueller witch hunt who goes ignored-&amp;amp; shouldnt. Dont forget the swamp in the concrete jungl…</t>
  </si>
  <si>
    <t>RT @Rockprincess818: Thanks @nbcsnl you’re pushing my non political independent friends more to the right then they’ve ever been in their l…</t>
  </si>
  <si>
    <t>RT @KatiePavlich: Weird. The majority of NRA members I know are veterans or family of veterans. https://t.co/DTmC7PWZEz</t>
  </si>
  <si>
    <t>RT @RubyRockstar333: #ANTIFA &amp;amp; #BLM leader, (Micah Rhodes 24) has been found GUILTY of RAPE of an underage girl &amp;amp; will be sentenced to pris…</t>
  </si>
  <si>
    <t>RT @Pink_About_it: Spitzer resigned over prostitutes
Anthony weiner sexted underage girls 
Eric Schneiderman abused women and suppressed…</t>
  </si>
  <si>
    <t>RT @thebradfordfile: Dear @60Minutes:
Your Stormy Daniels nothing-burger looks more pathetic each day. Perhaps you should read Ronan Farro…</t>
  </si>
  <si>
    <t>RT @michaelbeatty3: □ BREAKING □
ERIC SCHNEIDERMAN 
CONFESSES HIS CRIMES
(Sorry..I meant to say he talked
about Harvey Weinstein)
#MAGA #…</t>
  </si>
  <si>
    <t>RT @RealMAGASteve: Trump-Hater New York AG Eric Schneiderman is accused of physical abuse by 4-women.
In his official response, Schneiderm…</t>
  </si>
  <si>
    <t>RT @RealSaavedra: Trump warned in 2014 that Eric Schneiderman was a coke head. https://t.co/3RCzzeq6OQ</t>
  </si>
  <si>
    <t>RT @kimiw506: @bwarren1915 @LizCrokin I wonder if those are horns growing out her back😂😝🤫 https://t.co/adyCB4CR1w</t>
  </si>
  <si>
    <t>RT @Thomas1774Paine: UPDATE: POLICE: Multiple Fatalities -- Armed Standoff After Multiple People Shot in Home in Exclusive Maryland Neighbo…</t>
  </si>
  <si>
    <t>RT @magathemaga1: ATTENTION #moleg 
Has anybody seen Scott Faughn?
Is anybody asking:
✔Where his money came from?
✔What was it for?
✔Why…</t>
  </si>
  <si>
    <t>RT @HotPokerPrinces: THE NAKED TRUTH THE MEDIA REFUSES TO TELL YOU
KS testified in her deposition n June 2015 she used FaceTime with greit…</t>
  </si>
  <si>
    <t>@Avenge_mypeople @staceynewman Same corrupt #DemocRAT #MORepStaceyNewman #MoLeg texted alleged victim 
“my House Dem leadership insist you need a lawyer fast.” Motion says same Rep texted a week later- “STL Circuit Attorney Kim Gardner, she said you can have your attorney call her.”
#ImpeachStaceyNewman</t>
  </si>
  <si>
    <t>RT @Avenge_mypeople: This is Rep. @staceynewman from Missouri. Imagine if this were a White man and his shirt said, "I'm rooting for everyo…</t>
  </si>
  <si>
    <t>RT @DineshDSouza: Justice isn't merely about whether you broke the law—it is also about whether others similarly situated receive the same…</t>
  </si>
  <si>
    <t>RT @Jillibean557: BREAKING: General Michael Flynn endorses Troy Downing for U.S. Senate, slams his opponent Sen. John Tester for spreading…</t>
  </si>
  <si>
    <t>RT @GOPChairwoman: Gina Haspel will start her Senate confirmation on Wednesday. Her extensive experience makes her uniquely qualified and t…</t>
  </si>
  <si>
    <t>RT @DjLots3: Congratulations @DNC @chuckschumer @NancyPelosi!
You are officially the party of Porn "stars", Illegal aliens, Cop haters, Ba…</t>
  </si>
  <si>
    <t>RT @JackPosobiec: #ClearFlynnNow https://t.co/6a8G25LTK8</t>
  </si>
  <si>
    <t>RT @drawandstrike: @MZHemingway @carol_sue5 What people need to take into account is that if - and I think it's the case - IF Horowitz unco…</t>
  </si>
  <si>
    <t>RT @drawandstrike: @MZHemingway @carol_sue5 The drama we're watching between the DOJ &amp;amp; Congress isn't about 'deep state' people trying to k…</t>
  </si>
  <si>
    <t>RT @drawandstrike: @MZHemingway @carol_sue5 WHEN THEY ARE READY &amp;amp; believe disclosing will no longer compromise the cases they are building,…</t>
  </si>
  <si>
    <t>RT @USAgaggy63: FAKE NEWS CIRCULATING THAT KN IS TELLING POTUS TO STOP SAYING STUFF!! ITS FAKE DON'T BELIEVE IT THEY ARE TRYIN G TO UNDERMI…</t>
  </si>
  <si>
    <t>RT @The_Trump_Train: It’s been 1 year and 105 days since President Trump was sworn into office. 
I feel blessed that we do not have to wak…</t>
  </si>
  <si>
    <t>RT @1776Stonewall: Remember on Friday @NBCNews posted a fake story that said that they had wiretaps of Michael Cohen? They later "corrected…</t>
  </si>
  <si>
    <t>RT @JW1057: @RightSideUp313 @Norasmith1000 @stlcao The OCDC could as well and bring disciplinary proceeding against her that could result i…</t>
  </si>
  <si>
    <t>RT @dbongino: John Kerry must be investigated. No more games. 
Please, DO NOT MISS my podcast today for the details. 
Available now on iTu…</t>
  </si>
  <si>
    <t>RT @CStamper_: Soros-backed “Kim Gardner has clearly, repeatedly and consistently violated the ethics of her profession and brought disgrac…</t>
  </si>
  <si>
    <t>Missouri Crime Scene
🤬@stlcao @kimgardner77th-complaints filed w MO Bar Assoc.4MALFEASANCE
#FireMoLeg #MoGov #MOSen 
@jaybarnes5 
@Rep_TRichardson 
@Mikelkehoe 
@robschaaf
@RonFRichard
@jeanielauer
@KevinLAustin1
@shawnrhoads154
@gcmitts
@TommiePierson
@elijahhaahr
@staceynewman https://t.co/BOJhOJTwOk</t>
  </si>
  <si>
    <t>RT @JW1057: @Norasmith1000 No photo. 
No witness who ever saw alleged photo.
No evidence of what alleged photo depicted.
No evidence of sub…</t>
  </si>
  <si>
    <t>RT @thebradfordfile: Dear Ms. Morris:
I talked a lot during 2nd grade. Although giving me detention with you probably encouraged me to con…</t>
  </si>
  <si>
    <t>Missouri Crime Scene
🤬@stlcao @kimgardner77th-complaints filed w MO Bar Assoc.4MALFEASANCE
#FireMoLeg #MoGov #MOSen 
@jaybarnes5 
@Rep_TRichardson 
@Mikelkehoe 
@robschaaf
@RonFRichard
@jeanielauer
@KevinLAustin1
@shawnrhoads154
@gcmitts
@TommiePierson
@elijahhaahr
@staceynewman https://t.co/JT7R3wWo9F</t>
  </si>
  <si>
    <t>RT @Sticknstones4: Greitens Felony Invasion of Privacy Case  
Thread Time 
Follow Along  
See What the Media Isn’t Telling You👇👇👇 https:…</t>
  </si>
  <si>
    <t>RT @Education4Libs: I wish the $1.7 BILLION that Obama gave to Iran (without Congressional approval) received as much media attention as th…</t>
  </si>
  <si>
    <t>RT @PressSec: .@SBALinda is doing big things for small business! She is working with @POTUS to ensure small businesses can compete and thri…</t>
  </si>
  <si>
    <t>RT @PressSec: The @realDonaldTrump effect: Black and Hispanic unemployment again hits record lows
https://t.co/3HdxUnBW1x</t>
  </si>
  <si>
    <t>RT @SecPompeo: We have an unprecedented opportunity to change the course of history on the Korean Peninsula, but the outcome is unknown. Ho…</t>
  </si>
  <si>
    <t>RT @PressSec: There is no one more qualified to be the first woman to lead the CIA than 30+ year CIA veteran Gina Haspel. Any Democrat who…</t>
  </si>
  <si>
    <t>RT @PressSec: Proud to be with Ambassador @RichardGrenell tonight in NYC as he departs for Germany to represent our great country. Disgrace…</t>
  </si>
  <si>
    <t>RT @PressSec: ICYMI: @POTUS appointed members to his Council on on Sports, Fitness, and Nutrition, which aims to encourage youth participat…</t>
  </si>
  <si>
    <t>RT @realDonaldTrump: I will be announcing my decision on the Iran Deal tomorrow from the White House at 2:00pm.</t>
  </si>
  <si>
    <t>RT @realDonaldTrump: National Prescription Drug #TakeBackDay numbers are in! Another record broken: nearly 1 MILLION pounds of Rx pills dis…</t>
  </si>
  <si>
    <t>RT @realDonaldTrump: The United States does not need John Kerry’s possibly illegal Shadow Diplomacy on the very badly negotiated Iran Deal.…</t>
  </si>
  <si>
    <t>RT @realDonaldTrump: Is this Phony Witch Hunt going to go on even longer so it wrongfully impacts the Mid-Term Elections, which is what the…</t>
  </si>
  <si>
    <t>RT @realDonaldTrump: Lisa Page, who may hold the record for the most Emails in the shortest period of time (to her Lover, Peter S), and att…</t>
  </si>
  <si>
    <t>RT @realDonaldTrump: Good luck to Ric Grenell, our new Ambassador to Germany. A great and talented guy, he will represent our Country well!</t>
  </si>
  <si>
    <t>RT @realDonaldTrump: “The Great Revolt” by Salena Zito and Brad Todd does much to tell the story of our great Election victory. The Forgott…</t>
  </si>
  <si>
    <t>RT @realDonaldTrump: The 13 Angry Democrats in charge of the Russian Witch Hunt are starting to find out that there is a Court System in pl…</t>
  </si>
  <si>
    <t>RT @realDonaldTrump: The Russia Witch Hunt is rapidly losing credibility. House Intelligence Committee found No Collusion, Coordination or…</t>
  </si>
  <si>
    <t>RT @realDonaldTrump: My highly respected nominee for CIA Director, Gina Haspel, has come under fire because she was too tough on Terrorists…</t>
  </si>
  <si>
    <t>RT @realDonaldTrump: To the great people of West Virginia we have, together, a really great chance to keep making a big difference. Problem…</t>
  </si>
  <si>
    <t>RT @realDonaldTrump: Thank you Cleveland, Ohio! https://t.co/ROEFRLY7jP</t>
  </si>
  <si>
    <t>RT @BackTheCops: Drop a like! https://t.co/PZaRh2kmfW</t>
  </si>
  <si>
    <t>RT @magathemaga1: LOL!!!
WitchHunt Still On!
#ScammingScott running media while RUNNING FROM MEDIA!
#MoneyBagsAl got 20k MORE!
#KimShady…</t>
  </si>
  <si>
    <t>RT @ResignNowKim: You’re so sure @kmoxnews  . How are you an authority?  Why are you pushing this story? How is this news and not opinion?…</t>
  </si>
  <si>
    <t>RT @Sticknstones4: @Shawtypepelina @stlcao @StLouisCityCA @stltoday Hundreds of thousands tax payer dollars being spent on #greitens no pic…</t>
  </si>
  <si>
    <t>If the story is true, then it boils down to a citizen exercising his constitutional right. It's the government's duty to prove the truth of its claims. By the way, @EricGreitens has offered to be deposed by house after trial. 
#moleg #mogov #greitens #KimShady #IStandWithGreitens https://t.co/zHnmIocahr</t>
  </si>
  <si>
    <t>RT @VisioDeiFromLA: Why #STL CA Kim Gardner Must Be Investigated—and Stopped
"#StLouis CA Kim Gardner has clearly, repeatedly &amp;amp; consistent…</t>
  </si>
  <si>
    <t>#StaceyNewmanIsACriminalDemocRAT https://t.co/0cZEEFDvzR</t>
  </si>
  <si>
    <t>#StaceyNewman #MoLeg incited Kitty Sneed to go after @GovGreitensMO , she could get rich on that....
#StaceyNewmanCriminaldemocRAT https://t.co/WdS2LNRkN0</t>
  </si>
  <si>
    <t>RT @blackwidow07: @ChrisHayesTV @SKOLBLUE1 Surprise? I allude to this sometime ago? I still say that this is being worked with hubby. Did t…</t>
  </si>
  <si>
    <t>Missouri Crime Scene
#MoLeg #MoGov #MOSen #StaceyNewman https://t.co/ziKTzPN7ID</t>
  </si>
  <si>
    <t>RT @ResignNowKim: @HennessySTL @Sticknstones4 Prosecutorial immunity- Kim is safe.  But we can bring them to the court of public opinion an…</t>
  </si>
  <si>
    <t>RT @Sticknstones4: @ResignNowKim @K___Garner @BarklageCompany @RobertKnodell @johnrhancock @RGreggKeller @cody4mo @EricGreitens Think there…</t>
  </si>
  <si>
    <t>RT @HennessySTL: The other snake to watch is David Barklage, the consultant. He’s crafty. Installed a mole in the Greitens campaign. Leaked…</t>
  </si>
  <si>
    <t>RT @HennessySTL: Greasy Jay Barnes. Greasier than cheap diner on fried chicken night.</t>
  </si>
  <si>
    <t>RT @HennessySTL: Jay Barnes, the guy who hates #teaparty people, might be the most corrupt member of Missouri’s legislature. Keep an eye on…</t>
  </si>
  <si>
    <t>RT @HennessySTL: Greasy Jay Barnes  https://t.co/jDeyeTq9Rd</t>
  </si>
  <si>
    <t>Let’s do it. Start with @rep_trichardson &amp;amp;@jaybarnes5 getting gone. They’re one eyed jacks.  We’ve seen their other side. Then let’s move to a public renouncing of all big money men in MO- starting with #SamFox @rexsinquefield and moving to consultant scum like @BarklageCompany https://t.co/9Hlm9zEvG6</t>
  </si>
  <si>
    <t>RT @HennessySTL: @ResignNowKim @Rep_TRichardson @rexsinquefield @BarklageCompany I hear they’re holding a shredding party tonight.</t>
  </si>
  <si>
    <t>@Rep_TRichardson Your speakership is over.  You’re a bastard and you’ve abused your power.  Grassroots are pissed. We know what U R, you rat bastard. We’re coming to expose what you’ve done. @HennessySTL WE’RE GODDAMN COMING, YOU FUCK! @BarklageCompany can’t save you. @EdBigCon https://t.co/T1FHjTi5bA</t>
  </si>
  <si>
    <t>RT @ResignNowKim: @HennessySTL Judgment Day coming for #mogop .Celebrate the  #MOGOPocalypse  .Don’t look back, or turn to salt. May @Barkl…</t>
  </si>
  <si>
    <t>RT @JW1057: @ResignNowKim @HennessySTL @Sticknstones4 Don't forget absolute prosecutorial immunity doesn't apply to a prosecutor when condu…</t>
  </si>
  <si>
    <t>RT @88YahamaKeys: @Margare03880660 @ATeamMom1 @juliematthews50 @Lautergeist @MoRepEvans @MarkMattMO @molegislature @TheNewRight @Beatlebaby…</t>
  </si>
  <si>
    <t>RT @ResignNowKim: @ScottCharton @RoyBlunt @ScottCharton ,you asshole.  You’re part of the Illegal Coup w fat bastard @scottfaughn .  You do…</t>
  </si>
  <si>
    <t>RT @ResignNowKim: @BarklageCompany  So, Super Dave: I know you’re a YUUUUUUGE fan of #TWMP.  How would you characterize this week in Missou…</t>
  </si>
  <si>
    <t>RT @SKOLBLUE1: Where in the World is Carmen (AKA Scott Faughn) San Diego? #Moleg #STL #Mosen #Mogov @JaneDueker @ES03784893 you crazy cats…</t>
  </si>
  <si>
    <t>RT @Sticknstones4: Taking Friendly Wagers where is Scott Faughn
Any guesses Twitter ?
Where does the Candy Man Hide with His Money 
And…</t>
  </si>
  <si>
    <t>RT @Sticknstones4: This Pretty Much Sums it Up 👇 https://t.co/oW8KZc53Fx</t>
  </si>
  <si>
    <t>RT @ResignNowKim: @VisioDeiFromLA Did you say @ScottCharton was a good friend w @scottfaughn ?  True.  Both are also friends w @RLLohmann…</t>
  </si>
  <si>
    <t>RT @HennessySTL: The villains, in this case, are the ones conducting the witch hunt. Crooked Jay Barnes, weirdo Scott Faughn, slow Kim Gard…</t>
  </si>
  <si>
    <t>@PaidRussianBot A crook like #AlWatkins should be disbarred for life just like #KimShady @StLCA @kimgardner77th 
#MoLeg #MoGov #MOSen #MOGOP are FRAUDING MO TAXPAYER https://t.co/Nn3JQVgkyD</t>
  </si>
  <si>
    <t>RT @Sticknstones4: Ill take that list of tax credit queens
DMs are open
Send it to me 
#moleg https://t.co/QVDjCdodhw</t>
  </si>
  <si>
    <t>RT @HennessySTL: Meet the Mole. Soon. Very soon. #moleg you will never forget. https://t.co/D2Wpg4I3e6</t>
  </si>
  <si>
    <t>RT @Sticknstones4: #moleg Lawmakers need to cancel your Missouri Times https://t.co/PkBkvlnnis</t>
  </si>
  <si>
    <t>@jaybarnes5  @Rep_TRichardson @MOHouseGOP 
You crooked criminals - We knew there is a reason why you push so hard to get rid of @GovGreitensMO bc  YOU ARE FRAUDING MO TAXPAYERS and Governor Greitens drains you out.
#FireMoLeg https://t.co/IPPUmdiNA3</t>
  </si>
  <si>
    <t>RT @JW1057: @StLCountyRepub @EricGreitens @TeamGreitens @SheenaGreitens 
I am truth and justice and @stlcao and @jaybarnes5 are frauds!…</t>
  </si>
  <si>
    <t>Because @stlcao @kimgardner77th is obsessed with #MALFEASANCE against Gov. @EricGreitens and #MoLeg #MoGov #MOSen is helping her instead of holding her accountable, because they all are committing crimes https://t.co/0JNnpvTDs0</t>
  </si>
  <si>
    <t>Wow, #MoLeg #MoGov #MOSEN FRAUD!
#MariaChappelleNadal would know - you could not even impeach her because she knows your crimes https://t.co/TF7bPnGNUJ</t>
  </si>
  <si>
    <t>RT @Sticknstones4: I’m just Loving You ❤️  MCH https://t.co/01CI1EhhcT</t>
  </si>
  <si>
    <t>RT @NameRedacted7: 1. After 7 days in twitter jail, I have returned. If you're not already, please follow my backup acct @nameredacted8 as…</t>
  </si>
  <si>
    <t>RT @SebGorka: https://t.co/MJ65xR72N8</t>
  </si>
  <si>
    <t>RT @PoliticalShort: Mueller's probe is dictated not by the parameters of his appointment, but by the scope of the abuses and crimes he’s co…</t>
  </si>
  <si>
    <t>RT @TheRealHublife: Dear "Anti- Jeff Sessions" geniuses.
Explain the 29,000+ sealed Federal Indictments.
Did Santa Claus put those there?…</t>
  </si>
  <si>
    <t>RT @RealJack: MSNBC Panel Admits It: Trump Will Be Re-elected in 2020! https://t.co/YdFcOGwvf5</t>
  </si>
  <si>
    <t>RT @Education4Libs: I think it’s hilarious how CNN has resorted to children (Parkland) &amp;amp; prostitutes (Stormy Daniels) to deliver their mean…</t>
  </si>
  <si>
    <t>RT @Patriotic_Va: 🎉CONGRATS🎉
@2christian on reaching 15k followers! 
This lady blows the lid off of the deepstate daily! Give her a follo…</t>
  </si>
  <si>
    <t>RT @thebradfordfile: RETWEET if you want to see Rosie in a giant orange jumpsuit.
I HOPE SHE GETS A TOP BUNK.</t>
  </si>
  <si>
    <t>RT @RichardGrenell: Thanks for the send off, @BillWhiteNY &amp;amp; @JBryanEure. And for the post-reception dinner @DonaldJTrumpJr, @kimguilfoyle,…</t>
  </si>
  <si>
    <t>RT @VisioDeiFromLA: Lol still pushing this lame tripe.
The public is woke.
The #MoLeg GOP are swamp
@EricGreitens is an OUTSIDER
Sorry…</t>
  </si>
  <si>
    <t>RT @charliekirk11: Did you know: 
There were 28 illegals arrested last month in North Carolina for child rape 
They should have never hav…</t>
  </si>
  <si>
    <t>RT @JosephJFlynn1: Very straightforward message from @GenFlynn ...listen and let it sink in.... https://t.co/scpBcK9VYT</t>
  </si>
  <si>
    <t>RT @r_little_finger: Retweet if you agree TRAITOR John Kerry,
should be charged, arrested under the Logan Act.</t>
  </si>
  <si>
    <t>RT @ClintonMSix141: Hillary didn't lie
I repeat didn't lie
when she said "if Trump wins we'll all hang".......
it's happening!!</t>
  </si>
  <si>
    <t>RT @thebradfordfile: Dear @DevinNunes:
Now that Lisa Page has resigned, when will she be taking the oath and testifying before your commit…</t>
  </si>
  <si>
    <t>RT @adjunctprofessr: RT! RT! RT!
Make Twitter CEO accountable for denying conservatives free speech!
30 days to collect 100,000 signatures!…</t>
  </si>
  <si>
    <t>RT @Sticknstones4: #moleg has already begun to cut their wrists
1) Stacey Newman &amp;amp; Dem Leadership Conspired with Kim Gardner 
2) Jay Barn…</t>
  </si>
  <si>
    <t>RT @FedupWithSwamp: ClareBman from ⓝⓥⓧⓘⓜ's Daddy had Dinner with ⓟⓞⓓⓔⓢⓣⓐ https://t.co/ax5qpHJwci and also donated $1,000,000 thanks to the…</t>
  </si>
  <si>
    <t>RT @Thomas1774Paine: Study: ‘Collective Narcissism’ Drives Liberal Belief in Fake News https://t.co/WVfwbAvkD4</t>
  </si>
  <si>
    <t>RT @PatriciaMario10: Get on board or get the hell out of the way! https://t.co/4osUDoGvgV</t>
  </si>
  <si>
    <t>Even on deathbed #HanoiJohn #SongbirdMcCain is still a traitor like he was in Vietnam, war criminal, 500+ MIA/POW are still sealed by #McNasty &amp;amp; #JohnKerryTraitor 2hide their own war crimes. #KeatingFive &amp;amp; created ISIS with Obama. Pardoned ass is lucky 2croak off instead of hung https://t.co/kdTRaQmDlq</t>
  </si>
  <si>
    <t>RT @ArizonaKayte: 💥Huge Congrats and  SHOUTOUT💥
TO ⭐〰️〰️〰️DASH!!〰️〰️〰️⭐
HE JUST REACHED ⭐40K⭐ FOLLOWERS!!! AMAZING!!
THIS guy is so dang…</t>
  </si>
  <si>
    <t>RT @NRATV: "The pure ideal of American freedom has been twisted and distorted—perverted by the elites of the political class and media clas…</t>
  </si>
  <si>
    <t>RT @PatriotLexi: James Kallstrom, Former FBI Assistant Director on Mueller investigation: "We got these frivolous, idiotic questions they w…</t>
  </si>
  <si>
    <t>@davis1988will @SarahPalinUSA @MikeTokes @GrrrGraphics @dbongino @michellemalkin @Liz_Wheeler @deneenborelli @tomborelli @RealDrGina @KelemenCari @DebbieAAldrich  https://t.co/ED6EZXkZgE</t>
  </si>
  <si>
    <t>@davis1988will @SarahPalinUSA @MikeTokes @GrrrGraphics @dbongino @michellemalkin @Liz_Wheeler @deneenborelli @tomborelli @RealDrGina @KelemenCari @DebbieAAldrich Even on deathbed #HanoiJohn #SongbirdMcCain is still a traitor like he was in Vietnam, war criminal, 500+ MIA/POW are still sealed by #McNasty &amp;amp; #JohnKerryTraitor 2hide their own war crimes. #KeatingFive &amp;amp; created ISIS with Obama. Pardoned ass is lucky 2croak off instead of hung</t>
  </si>
  <si>
    <t>RT @Jillibean557: Against all odds. I still believe in #Sessions. 🇺🇸👢</t>
  </si>
  <si>
    <t>RT @1776Stonewall: Great News! https://t.co/n7RfoIbHiz</t>
  </si>
  <si>
    <t>RT @jeepsuzih2: @mikandynothem @Corrynmb @GrizzleMeister @Miami4Trump @LeahR77 @RightWingAngel @codeofvets @KatTheHammer1 @Hoosiers1986 @AM…</t>
  </si>
  <si>
    <t>RT @StefanMolyneux: Apparently you did. https://t.co/JkeMy732Th</t>
  </si>
  <si>
    <t>RT @FriendlyJMC: #LockThemUp
#LockThemAllUp
#MAGA 
Time to #DrainTheSwamp
That means we need to hold these who committed crimes accountabe…</t>
  </si>
  <si>
    <t>RT @jenn_027: Resisting or just drunk? 
Asking for a friend .... either way —
It’s TIME ⏰
#LockHerUp
#LockThemAllUp
#TickTock
#PatriotJe…</t>
  </si>
  <si>
    <t>RT @Golfinggary522: Wow, Congratulations to JJ on hitting 25K!! One of the hardest working Patriots I know, @1Romans is an incredible teamm…</t>
  </si>
  <si>
    <t>RT @GovMikeHuckabee: Should Robert Mueller be fired? Vote here: https://t.co/Ixncju3UFq https://t.co/e7STBIinsI</t>
  </si>
  <si>
    <t>RT @jenster_the: I find it hilarious that Stormy calls sex with Trump “an affair”. - 
Sweetheart, listen to me, when you arrange to have se…</t>
  </si>
  <si>
    <t>RT @RealJack: Hillary Clinton destroyed subpoenaed evidence.
The FBI rigged the investigation for her.
There’s no evidence of any crimes…</t>
  </si>
  <si>
    <t>RT @ScottPresler: FILL THE BENCH: Justice Kennedy is rumored to retire in June. In the event a seat is vacated, we must take immediate acti…</t>
  </si>
  <si>
    <t>RT @dbongino: Short answer -&amp;gt; probably not. Because she’s a liberal. Laws don’t apply to liberals. https://t.co/fRmWJzBNVr</t>
  </si>
  <si>
    <t>RT @VisioDeiFromLA: Why would Scott Charton not tweet or do commentary on his buddy Scott Faughn’s involvement in all this?
Not saying you…</t>
  </si>
  <si>
    <t>RT @thebradfordfile: Rep. @TedLieu keeps tweeting about a hush payment to a porn star.
What about the millions of tax dollars spent to cov…</t>
  </si>
  <si>
    <t>RT @AMike4761: Karma is biting Rosie O’Donnell HARD! How did she think nobody would find out? Should she go to prison? Yes/No??…</t>
  </si>
  <si>
    <t>RT @CollinRugg: Stormy Daniels: “OMG... *sniffle* I am such a victim... *stiff*”
Also Stormy: *Goes on SNL and jokes about her relationshi…</t>
  </si>
  <si>
    <t>RT @LauraLoomer: Well, looks like Twitter is screwing with my account again. 
They stripped me of another 300 followers in 1 day.</t>
  </si>
  <si>
    <t>RT @DineshDSouza: These are clinical loons posing as journalists and social analysts https://t.co/5LEPnj1mwd</t>
  </si>
  <si>
    <t>RT @RealJack: The media is awfully quiet about all the sex trafficking busts and arrests taking place...
🤔🤔🤔</t>
  </si>
  <si>
    <t>RT @RealJamesWoods: The #Democrats have a single agenda: destroy this president. They  do Russia, porn whores, weather, illegal aliens, gun…</t>
  </si>
  <si>
    <t>RT @TheRealHublife: Tick tock, bitch.
#SundayFunday
#TheGreatAwakening https://t.co/1P20DzrN5Y</t>
  </si>
  <si>
    <t>RT @CoreyLMJones: I’m waiting for liberals to call out Rosie O’Donnell for knowingly committing 5 campaign finance violations.
The left vi…</t>
  </si>
  <si>
    <t>RT @RyanAFournier: Trump is one of the first Presidents ever to accomplish more than he promised.
Let that sink in. He has my vote as well…</t>
  </si>
  <si>
    <t>RT @Education4Libs: Hillary is a CRIMINAL.
It’s already been established that she destroyed subpoenaed evidence &amp;amp; doing so is a felony.
T…</t>
  </si>
  <si>
    <t>RT @magathemaga1: #MoLeg #Mogov
What's all this talk about Scott Faughn going into hiding?
It's ok cuz even if he was, I'm sure #MISSOURI…</t>
  </si>
  <si>
    <t>RT @charliekirk11: John Kerry should have his passport revoked for trying to undercut the Trump administration's dealings with Iran
He is…</t>
  </si>
  <si>
    <t>RT @PoliticalShort: Nunes: Congress planning to hold AG Sessions in contempt... https://t.co/MhjfPeEIhT</t>
  </si>
  <si>
    <t>RT @BackTheCops: Officers at a Florida high school prom, where Boynton Beach PD officers are seen dancing on the floor as they accompany sp…</t>
  </si>
  <si>
    <t>RT @MZHemingway: @Doranimated In that linked interview, Nunes notes Sessions might be completely in the dark about the information DOJ is k…</t>
  </si>
  <si>
    <t>RT @Doranimated: Wow.  I hate to criticize Sessions, who's in a tough spot, but Nunes has proved himself to be absolutely courageous.  Were…</t>
  </si>
  <si>
    <t>RT @RepLeeZeldin: AG @jeffsessions should reassess massive scope of his recusal, which is absurdly &amp;amp; most unnecessarily broad. The Justice…</t>
  </si>
  <si>
    <t>RT @magathemaga1: 🚨 POLL TIME 🚨 
Good evening #MoLeg #MoGov
In the event that @EricGreitens resigns or is impeached over this witch hunt…</t>
  </si>
  <si>
    <t>RT @CollinRugg: The United States has made it clear that John Kerry can commit treason and absolutely nothing will happen.
Where are Repub…</t>
  </si>
  <si>
    <t>RT @GOP: There are 188 @realDonaldTrump nominees waiting to be confirmed.
It takes 84 days on average to confirm each one.
Almost 20 days…</t>
  </si>
  <si>
    <t>RT @BackThePolice: This is a hero’s sacrifice, it is never easy. https://t.co/IsUmanTSvD</t>
  </si>
  <si>
    <t>RT @LouDobbs: House Intel Committee Chairman Nunes: "Send in the G-Men" to Arrest John Kerry for Violating Logan Act https://t.co/W7lu26aCp…</t>
  </si>
  <si>
    <t>RT @JudgeJeanine: If ever you doubted that the mission of special counsel Robert Mueller in the Russia investigation is to secure the scalp…</t>
  </si>
  <si>
    <t>RT @kwilli1046: Mom put oil on her bird feeder to keep squirrels from stealing the bird food and... Mom are so smart. https://t.co/yELVXxAc…</t>
  </si>
  <si>
    <t>RT @LVNancy: “I believe that John Kerry should be prosecuted for failing to register as a foreign agent”~ @michellemalkin 
Arrest #JohnKer…</t>
  </si>
  <si>
    <t>RT @thebradfordfile: President Donald Trump is a billionaire.
He has never sold an ounce of uranium.
He has never purchased Russian intel…</t>
  </si>
  <si>
    <t>RT @USAHotLips: While Liberals &amp;amp; #DeepState keep doin their thing.....@realDonaldTrump is doin HIS THING‼️💪🏼🇺🇸
President Trump announced F…</t>
  </si>
  <si>
    <t>RT @chuckwoolery: I used to have over 60 thousand impressions, 3 weeks ago and before. I am now down to 40 thousand over a 28 day period. I…</t>
  </si>
  <si>
    <t>RT @GOPChairwoman: We know we face tough challenges heading into the midterm elections. But we’re more passionate than we’ve ever been! We…</t>
  </si>
  <si>
    <t>RT @Education4Libs: Like or RT if you think John Kerry should be arrested &amp;amp; tried for treason under the Logan Act.</t>
  </si>
  <si>
    <t>RT @SKOLBLUE1: Has anyone in #Missouri seen @scottfaughn ? Has anyone seen a #corrupt politician or owner of the #MissouriTimes ? Rachel Du…</t>
  </si>
  <si>
    <t>RT @MZHemingway: So this seems huge. Obama's DOJ had a counterintel operation going on Flynn? During the campaign/transition? And the *leak…</t>
  </si>
  <si>
    <t>RT @JayVanorman: @AbrahamsBader @1falmu @supersteak @Zegrinder @LazarusDelarge @VeniHayslip @LJT_is_me @davealvord164 @Ausman_86 @mmitoptec…</t>
  </si>
  <si>
    <t>RT @charliekirk11: The constitution was not written for the times, it was written to stand the test of time</t>
  </si>
  <si>
    <t>Another strike against corrupt Mueller, Now #FireMueller
 Judge rejects Mueller's request for delay in Russian troll farm case https://t.co/sm8bJlELuW via @politico</t>
  </si>
  <si>
    <t>RT @therealcornett: 🚨🚨🚨IMPORTANT 🚨🚨🚨
Call the @FBI at 1-800-CALL-FBI and tell them that you don't appreciate Robert Mueller's attempt to u…</t>
  </si>
  <si>
    <t>RT @DonDonsmith007: Judge Rejects Mueller’s Request for a Delay
In the Russian troll farm case https://t.co/bhJyD05gJe</t>
  </si>
  <si>
    <t>RT @magathemaga1: @ChrisHayesTV CC @Eric_Schmitt @paulcurtman</t>
  </si>
  <si>
    <t>RT @Norasmith1000: @ChrisHayesTV So am I understanding this correctly.  MO rep Stacy Newman (who is very vocal about her hatred for Greiten…</t>
  </si>
  <si>
    <t>Rep Stacey Newman, Missouri House Dem Leadership &amp;amp; St Louis Circuit Attorney Kim Gardner CONSPIRED with Greitens Mistress. @GailBeatty @walshgina hurry to help the impeachment before they got detected 
#ProsecuteMoLeg 
#Moleg #MoGov https://t.co/HVhD8epykL</t>
  </si>
  <si>
    <t>@ChrisHayesTV Rep Stacey Newman, Missouri House Dem Leadership &amp;amp; St Louis Circuit Attorney Kim Gardner CONSPIRED with Greitens Mistress. @GailBeatty @walshgina hurry to help the impeachment before they got detected 
#ProsecuteMoLeg 
#Moleg #MoGov</t>
  </si>
  <si>
    <t>Corrupt Rep Stacey Newman, Missouri House Dem Leadership &amp;amp; St Louis Circuit Attorney Kim Gardner CONSPIRED with Greitens Mistress.
#MoLeg
#MoGov
#MOSen
#MOGOP
#IStandWithGovGreitens https://t.co/KEVR6v97sh</t>
  </si>
  <si>
    <t>RT @KamVTV: In 1993 Bill Clinton fired the head of the FBI and the next day Vince Foster committed suicide and all his files came up missin…</t>
  </si>
  <si>
    <t>RT @VisioDeiFromLA: 12. "I don’t think it will take an investigating authority to find clear evidence of wrongdoing. Unlike the #Greitens i…</t>
  </si>
  <si>
    <t>RT @PoliticalShort: Judge to Mueller: Show Me the Mandate. https://t.co/etzPWEMtSt</t>
  </si>
  <si>
    <t>RT @RealJack: BREAKING: New leads from Hillary email review may have MAJOR consequences https://t.co/oSQlwilibM</t>
  </si>
  <si>
    <t>RT @JackPosobiec: Remember when you were millions in debt just a few months ago - where is all this funding coming from? https://t.co/4BUag…</t>
  </si>
  <si>
    <t>RT @JacobAWohl: People from countries all over the world DM me saying that they're making big donations to the NRA</t>
  </si>
  <si>
    <t>RT @GrizzleMeister: This semi retarded fat sad sack of monkey 💩 really is as stupid as he looks. There really should be a leash law require…</t>
  </si>
  <si>
    <t>RT @USAHotLips: RUH ROH‼️👀👀👀
@Rosie caught red handed.....again‼️
Rosie O’Donnell made illegally over-sized campaign donations to at leas…</t>
  </si>
  <si>
    <t>RT @brandongroeny: John Kerry committed treason.
Retweet if you think John Kerry should be in jail instead of sucking up to Iranian terror…</t>
  </si>
  <si>
    <t>RT @charliekirk11: “The most racist and hateful attacks I receive are from supposed black tolerant liberals” 
@RealCandaceO speaking truth…</t>
  </si>
  <si>
    <t>RT @johncardillo: .@MMFlint, aren’t you a multi millionaire many times over? https://t.co/2GtVksy9fb</t>
  </si>
  <si>
    <t>RT @mike_Zollo: The democrats are prepared to destroy this country, so long as Donald Trump doesn’t succeed. They can’t have Donald Trump p…</t>
  </si>
  <si>
    <t>RT @Lrihendry: Trump used $75 million of his own money in his campaign but allegedly using 130,000 to pay some lying slut to leave him the…</t>
  </si>
  <si>
    <t>RT @CoreyLMJones: Maybe if CNN wasn’t giving 59 interviews in 2 months to the attorney of Stormy Daniels, they would have more time to cove…</t>
  </si>
  <si>
    <t>RT @Str8DonLemon: But if you do impeach for a cheap kinky affair, voters of #Missouri will never trust #MoLeg again
#mogov #Greitens https…</t>
  </si>
  <si>
    <t>RT @DLoesch: Then why did God make them delicious https://t.co/NT8zqIdROz</t>
  </si>
  <si>
    <t>RT @guypbenson: Stormy Daniels is on SNL. Big cheers. We live in a Black Mirror episode.</t>
  </si>
  <si>
    <t>RT @Jamierodr10: “There’s No Evidence With The Russians, Gone. There’s No Evidence Of Obstruction Of Justice, Every Thing The President did…</t>
  </si>
  <si>
    <t>RT @RealJack: John Kerry is secretly meeting with top Iranian officials to save the Iran deal. John Kerry supports our enemies even after t…</t>
  </si>
  <si>
    <t>RT @StephenMilIer: Lisa Page is out of the FBI, it doesn't look like her 'insurance policy' is working as well as she hoped for.</t>
  </si>
  <si>
    <t>RT @TomFitton: Shut Mueller down. https://t.co/3I0mjWT5ta</t>
  </si>
  <si>
    <t>RT @Education4Libs: I love our President.
Never has anyone worked so hard for a job they did not need. He’s dedicating &amp;amp; risking his own l…</t>
  </si>
  <si>
    <t>RT @DineshDSouza: PARTY OF EMANCIPATION: Over 400 people in Pueblo, CO gearing up to hear me talk about the GOP’s glorious 150 year civil r…</t>
  </si>
  <si>
    <t>@Techno_Fog Thanks for your detailed lay-out</t>
  </si>
  <si>
    <t>RT @Techno_Fog: The hearing closed with a request from Manafort's lawyer that internal DOJ memos regarding the appointment and scope of the…</t>
  </si>
  <si>
    <t>RT @Techno_Fog: Judge Ellis then tells the SC that the indictment does not mention:
(1) Russian individuals
(2) Russian banks
(3) Russian…</t>
  </si>
  <si>
    <t>RT @Techno_Fog: The SC's explanation as to why the Cohen case is different from the Manafort case isn't convincing. https://t.co/mmmtZfRX4f</t>
  </si>
  <si>
    <t>RT @Techno_Fog: However, the Judge has his own theory: 
Did the SC farm out the Cohen case because it wasn't within the SC's jurisidction,…</t>
  </si>
  <si>
    <t>RT @Techno_Fog: Judge Ellis poses a question (a Q to which he will later provided an answer), asking why the Cohen was referred to the SDNY…</t>
  </si>
  <si>
    <t>RT @Techno_Fog: Judge Ellis contemplating why the Manafort case couldn't be sent to the EDVA USAO office by referencing the Michael Cohen c…</t>
  </si>
  <si>
    <t>RT @Techno_Fog: After going through all that, they get back to the real issue: Are the Rosenstein memos from May 2017 and August 2017 suffi…</t>
  </si>
  <si>
    <t>RT @Techno_Fog: Important. Judge Ellis explains the Mueller's end game:
"You really care about what information Mr. Manafort can give you…</t>
  </si>
  <si>
    <t>RT @Techno_Fog: And here we go: Judge Ellis gets after the SC for trying to have it both ways. 
The result - "Come on, man" https://t.co/k…</t>
  </si>
  <si>
    <t>RT @Techno_Fog: This statement by the SC proves that Rosenstein has hid the true scope of the Mueller probe - and how it has expanded/shift…</t>
  </si>
  <si>
    <t>RT @Techno_Fog: It's time to start punching back: Manafort's lawyer almost accuses the SC of lying  to the court about whether the indictme…</t>
  </si>
  <si>
    <t>RT @Techno_Fog: Judge: Isn't the right result to give the case back to the EDVA USAO?
Manafort lawyer: No - Mueller had no authority to co…</t>
  </si>
  <si>
    <t>RT @Techno_Fog: Eventually the SC sits down and it's Manafort's lawyer's turn. 
Judge Ellis to Manafort's lawyer: Does the 8/2 memo remedy…</t>
  </si>
  <si>
    <t>RT @Techno_Fog: That is what elicited Judge Ellis's response that we don't want "unfettered power." 
Judge Ellis continues, saying he's no…</t>
  </si>
  <si>
    <t>RT @Techno_Fog: An amazingly arrogant sequence here by team Mueller.
The SC is basically telling the Judge that grants of authority to the…</t>
  </si>
  <si>
    <t>RT @Techno_Fog: SC: If the investigation is valid, the crimes that arose from that investigation are w/in the SC's authority to prosecute.…</t>
  </si>
  <si>
    <t>RT @Techno_Fog: Important exchange here.
SC explains to the Judge that the indictments are w/in the scope of the SC appointment: leads fro…</t>
  </si>
  <si>
    <t>RT @Techno_Fog: Judge: How does the 2005/2007 bank fraud have anything to do with coordination b/w the Russians and the Trump campaign?
Sp…</t>
  </si>
  <si>
    <t>RT @Techno_Fog: The Judge lays out his correct observation that this case is all about leverage
against Manafort. 
He asks the Special Cou…</t>
  </si>
  <si>
    <t>RT @Techno_Fog: Judge Ellis recognizes what this is: an attempt by Mueller to squeeze Manafort. He likens the whole thing to a small-time d…</t>
  </si>
  <si>
    <t>RT @Techno_Fog: Judge Ellis: 
"If I look at the indictment, none of that information has anything to do with links or coordination between…</t>
  </si>
  <si>
    <t>RT @Techno_Fog: Judge Ellis immediately lays out his understanding of the Manafort case: The criminal indictment relates back to 2005, 2007…</t>
  </si>
  <si>
    <t>RT @Techno_Fog: I got my hands on the May 4 transcript from the USA v. Manafort hearing in front of Judge Ellis. (Thanks to a close friend.…</t>
  </si>
  <si>
    <t>RT @JKP_RN: @jcpenni7maga @DiamondandSilk @YouTube They need to take over one of these late night "comedy" shows and they'd have have MASSI…</t>
  </si>
  <si>
    <t>RT @jcpenni7maga: #TheView has been hihacked &amp;amp; taken over w/ a NEW show called #TheViewersView 
😂🤣😂
Starring @DiamondandSilk 
I absolutel…</t>
  </si>
  <si>
    <t>RT @Education4Libs: Libs are trying to tell Trump supporters they can’t celebrate Cinco de Mayo since they are in favor of building a borde…</t>
  </si>
  <si>
    <t>RT @JW1057: @ads302s @A_Tall_Turner @stltoday @EricGreitens I take no position on EG politics. I am concerned about the criminal charges an…</t>
  </si>
  <si>
    <t>RT @smalltownandrew: Two top aids for James Comey resign from FBI as @POTUS Trump continues to #draintheswamp https://t.co/ZngXiX5ri2 Can n…</t>
  </si>
  <si>
    <t>RT @SykesforSenate: What a groundswell of support! We are the Mighty MO! #MAGA #MOSen #MightyMO https://t.co/4MyIgMk3Oj</t>
  </si>
  <si>
    <t>RT @johncardillo: .@JohnKerry colluded with and acted as a foreign agent for #Iran to undermine U.S. foreign policy and to put pressure on…</t>
  </si>
  <si>
    <t>RT @mike_Zollo: Lib Don Lemon thinks it’s his obligation as a journalist to call Trump a racist. Don Lemon is not a journalist, he’s a poli…</t>
  </si>
  <si>
    <t>RT @CollinRugg: “All you racist Drumpf supports aren’t allowed to celebrate Cinco De Mayo! REEEEEEEEE” -Every Liberal right now
To that I…</t>
  </si>
  <si>
    <t>RT @RealTravisCook: Since today is #CincoDeMayo, it is a great opportunity to stop and recognize the under appreciated efforts of our ICE a…</t>
  </si>
  <si>
    <t>RT @TomFitton: .@RealDonaldTrump:  Shut Mueller down and pardon everyone. https://t.co/r6p0sIihiu</t>
  </si>
  <si>
    <t>RT @Jamierodr10: GOOD MORNING PATRIOTS 🇺🇸🇺🇸          What I Love About My President Is That He Isn’t Controlled By The Corrupt Politicians…</t>
  </si>
  <si>
    <t>RT @RodStryker: Happy Cinco Deporto!
Boot all these worthless scum in the Fake News Lamestream MSM while we're at it.
#BuildTheWall
#Depo…</t>
  </si>
  <si>
    <t>RT @GovMikeHuckabee: Fri, esteemed members of the 4th estate accused ME of lying by saying NBC and CNN "breathlessly" and FALSELY reported…</t>
  </si>
  <si>
    <t>RT @GOPChairwoman: Under President @realDonaldTrump’s leadership, small business optimism and the economy have reached historic levels. Cut…</t>
  </si>
  <si>
    <t>RT @thebradfordfile: Dear President Trump:
Happy Cinco de Mayo!
B U I L D  T H E  W A L L !
Thanks,
American Citizens 
#CincoDeDerby</t>
  </si>
  <si>
    <t>RT @davealvord164: via #BeFunky https://t.co/RcKTs6mVy4</t>
  </si>
  <si>
    <t>RT @Parish_sr: https://t.co/ojDm6A5XC1</t>
  </si>
  <si>
    <t>RT @ChuckNASCAR: Soooooo, Twitter apparently doesn’t like us saying we need to defend our border from caravans, if you’ve been wondering wh…</t>
  </si>
  <si>
    <t>@KamalaHarris Hey, YOU are the BEST racist, sexist, homophobe and hate inciter in our country! And vicious, too!</t>
  </si>
  <si>
    <t>RT @TyEducatingLibs: Hey @KamalaHarris, remember when you were 29 and then CA Assembly Speaker Willie Brown was 60 and you *cough cough* LO…</t>
  </si>
  <si>
    <t>RT @TheRealHublife: Dear Democrats,
#SaturdayMorning https://t.co/PYfA5EakJS</t>
  </si>
  <si>
    <t>RT @LisaSmith4680: On my way to my niece’s graduation at #PennState &amp;amp; just saw the most awesome Trump sign! THIS is #TrumpCountry! God Bles…</t>
  </si>
  <si>
    <t>RT @Lrihendry: FLORIDA must wake up and vote out big government Democrat Bill Nelson and vote RICK SCOTT for Senate! Recent Poll shows them…</t>
  </si>
  <si>
    <t>Kamala Harris, You are the best racist, sexist, homophobe and hate inciter!  Vicious, too! https://t.co/t8LnPtjSO4</t>
  </si>
  <si>
    <t>RT @realDonaldTrump: Our high level delegation is on the way back from China where they had long meetings with Chinese leaders and business…</t>
  </si>
  <si>
    <t>RT @realDonaldTrump: Just returned home to the beautiful White House, from Dallas, where the Arena was packed to the rafters with the great…</t>
  </si>
  <si>
    <t>RT @realDonaldTrump: Great book just out by very successful businessman @AndyPuzder. Always known as somebody who knows how to win, “Capita…</t>
  </si>
  <si>
    <t>RT @realDonaldTrump: I want to thank all of our friends and patriots at the @NRA. We will never fail, and we will always protect your Secon…</t>
  </si>
  <si>
    <t>RT @realDonaldTrump: We are going to demand Congress secure the border in the upcoming CR. Illegal immigration must end!</t>
  </si>
  <si>
    <t>RT @realDonaldTrump: Democrats and liberals in Congress want to disarm law-abiding Americans at the same time they are releasing dangerous…</t>
  </si>
  <si>
    <t>RT @realDonaldTrump: All of us here today are united by the same timeless values. We believe that our liberty is a gift from our creator, a…</t>
  </si>
  <si>
    <t>RT @realDonaldTrump: JUST OUT: 3.9% Unemployment. 4% is Broken! In the meantime, WITCH HUNT!</t>
  </si>
  <si>
    <t>RT @realDonaldTrump: NBC NEWS is wrong again! They cite “sources” which are constantly wrong. Problem is, like so many others, the sources…</t>
  </si>
  <si>
    <t>RT @realDonaldTrump: Because Jobs in the U.S. are doing so well, Americans receiving unemployment aid is the lowest since 1973. Great!</t>
  </si>
  <si>
    <t>RT @realDonaldTrump: Our Southern Border is under siege. Congress must act now to change our weak and ineffective immigration laws. Must bu…</t>
  </si>
  <si>
    <t>RT @bigleaguepol: Dan Meuser, a Republican congressional candidate for Pennsylvania’s Ninth District is in hot water after records showing…</t>
  </si>
  <si>
    <t>RT @SebGorka: This is the definition of SWAMP. https://t.co/2dxMmm2zVq</t>
  </si>
  <si>
    <t>RT @ScottPresler: I'm voting on June 12th in the Virginia statewide primary &amp;amp; 
I'm voting on Tuesday, November 6th, 2018. 
Literally, NOT…</t>
  </si>
  <si>
    <t>RT @PoliticalShort: Justice Dept IG Horowitz’s testimony next week before the House Oversight Committee has been postponed, as the IG has p…</t>
  </si>
  <si>
    <t>RT @RealTravisCook: I got 30 days on #Facebook fir the same thing. I guess discussion of the legitimate use of our military is now against…</t>
  </si>
  <si>
    <t>RT @BackThePolice: Drop a like if you agree! https://t.co/0kgJ9iOO6L</t>
  </si>
  <si>
    <t>RT @TomFitton: Judge Ellis's criticism strikes at the heart of the special counsel improperly targeting @realDonaldTrump.  Rosenstein shoul…</t>
  </si>
  <si>
    <t>RT @charliekirk11: Democrats would much rather see Trump fail than America succeed</t>
  </si>
  <si>
    <t>RT @RyanAFournier: Retweet if you’re voting Republican in 2018!
Find a friend, register them to vote, make arrangements today, to vote on…</t>
  </si>
  <si>
    <t>RT @RealJack: Thank you John Kerry for secretly meeting with our enemies, Hillary for insulting all Trump supporters, media for attacking K…</t>
  </si>
  <si>
    <t>RT @JacobAWohl: Oops! Stormy Daniels just admitted that she's NOT paying Michael Avenatti 
So who is? Soros? https://t.co/ZaYmh62n3O</t>
  </si>
  <si>
    <t>RT @CollinRugg: John Kerry is literally committing treason by going behind our backs and talking with Iran.
If Mike Flynn “lying” to the F…</t>
  </si>
  <si>
    <t>RT @DineshDSouza: It’s clear from the Flynn documents that FBI redactions are based not on protecting nat’l security but rather on protecti…</t>
  </si>
  <si>
    <t>RT @BackTheCops: 🙏🏻😔 https://t.co/IZJkBQlvN5</t>
  </si>
  <si>
    <t>RT @rektredpill: If you’re saying Happy Cinco De Mayo today and you didn’t vote for Trump, there’s a good chance you need to be catapulted…</t>
  </si>
  <si>
    <t>WTH: Kerry secretly meeting w top-ranking Iranian officials 2salvage deal he helped screw, traitor thinks he still has power, backstabbing Trump Admin policy. Breach of Logan Act 18 U.S. Code § 953 
@DepofJustice @AGJeffBSessions @SecPompeo @SecretService https://t.co/M1Q2ytTDYm https://t.co/ekQ5gkmyna</t>
  </si>
  <si>
    <t>RT @DonaldJTrumpJr: Perhaps the greatest tweet of all time. He’s right though, it’s really good. 😂😂😂 https://t.co/5faUNesc8k</t>
  </si>
  <si>
    <t>RT @Education4Libs: Snoop Dogg told Kanye West that he’s gone “all-white now.”
Is that not racist?
Just imagine if I criticized @TyEducat…</t>
  </si>
  <si>
    <t>RT @Str8DonLemon: Feliz Cinco De Mayo #MoLeg #Mogov !
Margaritas at @flystl Chili's! 
#Greitens news:
1. KS text messages EXPOSED
2. 100…</t>
  </si>
  <si>
    <t>RT @dbongino: Adam Schiff is a total fraud who has known for at least a year that the Russian “collusion” farce is a hoax. Yet, he continue…</t>
  </si>
  <si>
    <t>RT @SaraCarterDC: FLASHBACK: This is the first story I broke on Baker last year. On Friday FBI announced his resignation and that of FBI at…</t>
  </si>
  <si>
    <t>🚨#MediaWhores hyper-hallucinating racketeering racist colluding @CNN @ABC @nbc @CBS @MSNBC @NPR @YahooNews @NYT @washingtonpost NO faculties paparazzi! Go pound sand🤪 
51% approval rating for our @POTUS @realDonaldTrump 📈&amp;amp; climbing
#MAGA #KAG2020 😆 
https://t.co/XzBBr82NBr</t>
  </si>
  <si>
    <t>🚨#MediaWhores hyper-hallucinating racketeering racist @CNN @ABC @nbc @CBS @MSNBC @NPR @YahooNews @NYT @washingtonpost NO faculties paparazzi! If U can get off Stormy 4 a moment maybe you can see the Hurricane that's going 2 hit you🤪
#MAGA #KAG2020 😆
https://t.co/67BE9iqNSQ</t>
  </si>
  <si>
    <t>RT @Lrihendry: Have a great day TRUMPERS! Outta here! 
I voted for Trump, have no regrets, will vote for him again in 2020! 
EVERYONE PLE…</t>
  </si>
  <si>
    <t>RT @PoliticalShort: North Korea has reportedly moved 3 detained Americans to a hotel ahead of Trump-Kim summit. The detainee release could…</t>
  </si>
  <si>
    <t>RT @JackPosobiec: Stormy Daniels admits she is not paying her lawyer Michael Avenatti 
Who is? https://t.co/4sV0lXezbN</t>
  </si>
  <si>
    <t>RT @FoxNews: .@replouiegohmert: "Mueller has a history of not being a man of integrity, but of using and abusing the law to go after people…</t>
  </si>
  <si>
    <t>RT @LisaMei62: Which begs the question...who IS paying his legal fees? 🤔 https://t.co/xcexGZjYB2</t>
  </si>
  <si>
    <t>RT @TomFitton: Mueller get-@RealDonaldTrump abuses called out by federal court?  This @CNN report suggests so. https://t.co/Km0PDEzlfF</t>
  </si>
  <si>
    <t>RT @brandongroeny: Unemployment just fell to a 17 year-low, black unemployment is hitting lows, tax cuts, North Korea is releasing US detai…</t>
  </si>
  <si>
    <t>RT @theflash__8: #FridayFeeling : #RETWEET IF YOU AGREE THAT @CNN #FakeNewsCNN HAS MORPHED INTO A PORN CHANNEL, AND THEREFORE SHOULD HAVE S…</t>
  </si>
  <si>
    <t>RT @thebradfordfile: Dear Hillary Clinton:
You're not a capitalist. You're an opportunist. Your entire career is littered with collateral…</t>
  </si>
  <si>
    <t>RT @pjbowles4: #Trumpville 
#FollowBackFriday
@sun_head_JDC 
@bigchiefmc 
@crum_mary
@NotBuyingIt34
@KAGHarleyQuinn
@c_canida
@Z51vett
@bud…</t>
  </si>
  <si>
    <t>RT @RealTravisCook: At this point, I fully expect #AprilRyan to start her next appearance on #CNN with the words, "Hold my weave!" #maga</t>
  </si>
  <si>
    <t>RT @JacobAWohl: Mueller is NOT running an investigation, he's running a coup — He should be treated as such, and sent to the slammer!</t>
  </si>
  <si>
    <t>RT @chuckwoolery: #Trump is playing a whole different game with Washington Elites than they have ever witnessed. They're losing and they do…</t>
  </si>
  <si>
    <t>RT @TomFitton: Back to reality:  The Deep State targeting of @RealDonaldTrump is THE government scandal -- one without parallel in American…</t>
  </si>
  <si>
    <t>RT @Education4Libs: A homeless man was recently arrested for breaking into Jerry Brown’s home.
The homeless man claimed he selected Brown’…</t>
  </si>
  <si>
    <t>RT @CollinRugg: This is an amazing time in history. We are on the verge of making peace with North Korea and for the first time in a LONG t…</t>
  </si>
  <si>
    <t>RT @PoliticalShort: Why hasn’t Rosenstein recused himself? As a party to the firing of James Comey, he shouldn’t be overseeing a probe in w…</t>
  </si>
  <si>
    <t>RT @charliekirk11: If voter fraud isn’t real, why are the Democrats preventing any investigations into it?
If it truly doesn’t exist, woul…</t>
  </si>
  <si>
    <t>@AGJeffBSessions https://t.co/rlb0JiEZ6E</t>
  </si>
  <si>
    <t>RT @MZHemingway: whoa https://t.co/gxQHH8lsMu</t>
  </si>
  <si>
    <t>RT @W7VOA: A federal judge in a hearing about @PaulManafort bank fraud charges, is saying the special counsel should not have "unfettered p…</t>
  </si>
  <si>
    <t>RT @dbongino: We investigate crimes looking for people, NOT people looking for crimes. You’re witnessing the destruction of blind justice i…</t>
  </si>
  <si>
    <t>RT @therealroseanne: follow @StormyDaniels so u can stay informed of what's important in our country! thanks!</t>
  </si>
  <si>
    <t>RT @RealMattCouch: So it just broke that the Feds wire tapped calls between Michael Cohen and the White House which is illegal.. Executive…</t>
  </si>
  <si>
    <t>RT @PoliticalShort: Wiretapping a lawyer &amp;amp; obtaining search warrants/subpoenas for e-mail files, hard drives, etc., without any substantial…</t>
  </si>
  <si>
    <t>RT @TuckerCarlson: The biggest threat to America isn't Putin, but China. Consider: China spies on us more than any other country. It's behi…</t>
  </si>
  <si>
    <t>RT @SebGorka: These 3 men have destroyed the standing of the FBI. 
On @seanhannity with @dbongino next to talk about @Comey, Mueller, and…</t>
  </si>
  <si>
    <t>RT @StephenMilIer: Barack Obama must have been a real genius to be able to create ISIS immediately after we successfully defeated Al-Qaeda.</t>
  </si>
  <si>
    <t>RT @BackThePolice: Yes!! https://t.co/cD5r2NpN57</t>
  </si>
  <si>
    <t>RT @JudicialWatch: Dozens of House Democrats waived background checks on their House I.T. aides (Imran Awan / Awan Brothers). JW warned for…</t>
  </si>
  <si>
    <t>RT @IsraelUSAforevr: RETWEET IF YOU AGREE ⤵
Obama's legacy is lie and Corruption! https://t.co/iCZL6irC7L</t>
  </si>
  <si>
    <t>RT @RealMattCouch: We protect our Banks, Casino's, Government and State buildings, Star Athletes, Celebrities, Airports, with guns... 
Yet…</t>
  </si>
  <si>
    <t>RT @TrumpTrainMRA4: I’ll Just Let This Speak for Itself...
Narcissism is of the Devil... https://t.co/eQFPBockPX</t>
  </si>
  <si>
    <t>RT @bigleaguepol: Roy Moore: I Might Run For Governor https://t.co/jb12A1ps0n</t>
  </si>
  <si>
    <t>RT @SebGorka: Mueller investigation is bankrupt. 
On with the Great @LouDobbs now. 
730pmET
@FoxBusiness 
@FoxBizAlert https://t.co/BbuXpJ…</t>
  </si>
  <si>
    <t>RT @TomFitton: The NBC "correction" doesn't change the analysis -- abusive surveillance of @RealDonaldTrump lawyer, no matter you slice it.…</t>
  </si>
  <si>
    <t>RT @Lrihendry: Stormy Daniel’s ass is so big if she had to haul ass she’d have to make two trips! 😜</t>
  </si>
  <si>
    <t>Why is paparazzi @MajorGarrett not banned from WH press corp for harassment and indecent behavior? #Crime https://t.co/bbC1ICz9nW</t>
  </si>
  <si>
    <t>RT @DrMartyFox: ATTN: Rudy Gulianni 
#Mueller Does NOT Get To Interview #PresidentTrump (To Set His Perjury Traps) Without Evidence Of Any…</t>
  </si>
  <si>
    <t>RT @TrumpTrainMRA4: Countries That are Weak, 
Raise Soft Men...
💪Masculinity  versus  Liberalism🧚‍♂️ 
The Liberal AntiAmerica AltLeft 
Cont…</t>
  </si>
  <si>
    <t>Do your job and let Due Process take its course. All you want is profiling yourself. Let's see what some review of yourself brings to daylight, We do find!
You know you are corrupting a legal election, don't you, and because of that you should resign. https://t.co/QwIQoKEQ3U</t>
  </si>
  <si>
    <t>RT @redsteeze: So I guess you won’t be offering up anymore opinions on guns &amp;amp; healthcare. https://t.co/bt9YbWJOEQ</t>
  </si>
  <si>
    <t>@BigJShoota @EricGreitens Is the statement from U.S. Attorney Catherine Hanaway enlightening?
And how about the legal response to Judge Roberts biased?crap? 
These statements should be broadcast with the same intensity as the corrupt and fake statements from #MoLeg https://t.co/96pzuOk94c</t>
  </si>
  <si>
    <t>#FreeAssange https://t.co/9Yr8WIWyNd</t>
  </si>
  <si>
    <t>This shit should hit the fans:
Teacher's Union! In true Alinsky rules for radicals indoctrinating, screwing the kids up - parents take control of your schools.
#BanTeachersUnion https://t.co/eVPiwRaK3Z</t>
  </si>
  <si>
    <t>RT @wikileaks: https://t.co/ANIeahpTWz</t>
  </si>
  <si>
    <t>RT @PoliticalShort: Shut it down.
 https://t.co/f0dapMc1mu https://t.co/CgKX4eYC09</t>
  </si>
  <si>
    <t>Go fly a kite #MichaelObama https://t.co/1MNbBjLJJy</t>
  </si>
  <si>
    <t>RT @RealJamesWoods: Murdered by a lunatic #Democrat... https://t.co/bK01h4rO5U</t>
  </si>
  <si>
    <t>RT @chuckwoolery: Every Time Hillary Opens Her Mouth, it Hurts the Dem Russia Conspiracy https://t.co/9xDCuVhrmP https://t.co/SHDI5WmLBa</t>
  </si>
  <si>
    <t>RT @LadyRedStorm: So sadly true! 
#LiberalismIsAMentalDisorder 
#LibsRuinEverything
#ThursdayThoughts https://t.co/u76QsWZsos</t>
  </si>
  <si>
    <t>RT @GOPChairwoman: “America is a nation of believers, and together we are strengthened by the power of prayer.” – President @realDonaldTrump</t>
  </si>
  <si>
    <t>RT @ByronYork: Watching Trump-Russia probe move from counterintelligence investigation to porn star tryst is remarkable for those who, what…</t>
  </si>
  <si>
    <t>RT @MEL2AUSA: Let me translate Sarah’s comment for you Michelle Wolf: 
You made a huge ass out of yourself. 
Who’s laughing now! 😂
We lo…</t>
  </si>
  <si>
    <t>RT @1776Stonewall: I got in trouble with the twitter police last night. I had posted a bit of a dirty picture of Stormy Daniels with a, let…</t>
  </si>
  <si>
    <t>RT @Sticknstones4: Catherine Hanaway would Know ! 
She was our United States Attorney for Eastern District of Missouri 
House Reports Are…</t>
  </si>
  <si>
    <t>RT @VisioDeiFromLA: Why dont U ask stacey Newman why the accuser didnt tell her about the crime, given them she is the "family hairdresser"…</t>
  </si>
  <si>
    <t>@MaxwellAFillion @KH_MIZ19 @DPsaledakis @kwashy12 The only ones that you pseudo reporters can impress with such a garbage are worms like you. Common knowledge this is completely legal procedures for any business owner/public person. For people pounding sand like you it's unreachable. How do you like your democRAT handlers🤪🐀</t>
  </si>
  <si>
    <t>RT @StephenMilIer: The only mistake Trump did, is that he underestimated the corruption of the Deep State.</t>
  </si>
  <si>
    <t>RT @VisioDeiFromLA: The House LIED in their first report.
Why should we trust them with this?
NOTHING COMING OUT OF #MOLEG CAN BE TRUSTED…</t>
  </si>
  <si>
    <t>RT @Avenge_mypeople: Tax Increment Financing: the process whereby corporations and/or developers use the willing apparatus of government to…</t>
  </si>
  <si>
    <t>RT @RealCandaceO: Thank you @justinbieber for being brave enough to speak out against the mob. 
Love to both you and @kanyewest who have bo…</t>
  </si>
  <si>
    <t>RT @EricGreitens: A powerful morning at Centennial Baptist Church in Mexico, celebrating the #NationalDayofPrayer. A quiet moment of worshi…</t>
  </si>
  <si>
    <t>RT @redsteeze: Someone should have taught Peterson how to delete old tweets https://t.co/GUS3ueRaJ7</t>
  </si>
  <si>
    <t>RT @realDonaldTrump: This spring marks 4yrs since the Phoenix VA crisis. We won't forget what happened to our GREAT VETS. Choice is vital,…</t>
  </si>
  <si>
    <t>@Hope4Hopeless1 @HotlineJosh @AP4Liberty #MOGOP is responsible of allowing this trader onto the party list
Here are some #AustinPetersen @AP4Liberty bonbons:
#NeverAustinPetersen https://t.co/zt39nPgHGn</t>
  </si>
  <si>
    <t>RT @Hope4Hopeless1: @HotlineJosh #Missourians 
BEWARE 
#NeverTrump
LIBERTARIAN
.@AP4Liberty #Mosen 
#ProHillary2016
#AustinPetersen
IS
A…</t>
  </si>
  <si>
    <t>RT @BigLeague2020: @joel_capizzi @Nov2018election ENOUGH IS ENOUGH
SEND PRESIDENT TRUMP THE SUPPORT HE NEEDS
🇺🇸SYKES FOR SENATE🇺🇸
THE RE…</t>
  </si>
  <si>
    <t>RT @SykesforSenate: It's only a matter of time before the people of Iran exchange Islamic law for equality as they stand up for human right…</t>
  </si>
  <si>
    <t>RT @Hope4Hopeless1: SERIOUSLY??? You &amp;amp; the https://t.co/09VcByHci8 Con Man .@AP4Liberty are IDIOTS for pointing out that YOU are OPPOSED to…</t>
  </si>
  <si>
    <t>RT @Hope4Hopeless1: @JoshAlterity @joel_capizzi @AX99T1 @Vets4AP @HotlineJosh @AP4Liberty .@JoshAlterity your CON MAN Candidate #MOSEN .@AP…</t>
  </si>
  <si>
    <t>These are the kind of MediaWhores protected by the communist corrupt democRATs that attack the decency of America and our legal election
#BoycottCBS #BoycottNPR #NoTaxMoney4NPR
https://t.co/3Bb2JyTC0S</t>
  </si>
  <si>
    <t>Mr. President @realDonaldTrump @AGJeffBSessions 
FIRE MUELLER  
PROSECUTE HIM &amp;amp; HIS RECKLESS TEAM FOR HOLDING AMERICA HOSTAGE AND OBSTRUCTING AS WELL AS INTERNATIONALLY SLANDERING OUR DULY ELECTED PRESIDENT 
MUELLER IS A HARASSMENT TO OUR MAJORITY VOICES
https://t.co/0xLheTM9iw</t>
  </si>
  <si>
    <t>@AGJeffBSessions THIS IS AN ILLEGAL LEAK
YOU STATED THAT YOU WILL PROSECUTE LEAKERS INCL. THE MEDIA MOB
WE ARE WAITING FOR YOU TO INDICT THESE LEAKERS NOW!
https://t.co/XvolVeZUkb</t>
  </si>
  <si>
    <t>@gocrazy4cards @walshgina @Rep_TRichardson @RoyBlunt @scottfaughn @EricGreitens YOU LIED #MOGov #MoLEG❗️
@RoyBlunt why did you endorse
@AGJoshHawley #Resign 🚫 #USSenate 
MUST #Resign 
@Rep_TRichardson 
@jaybarnes5 
@Mikelkehoe 
@RonFRichard
@elijahhaahr
Investigation is due
Missouri Crimes Scene
https://t.co/XvolVeZUkb …</t>
  </si>
  <si>
    <t>@gocrazy4cards @walshgina @Rep_TRichardson @RoyBlunt #MoLeg forges false reports, they use a fake reporter @scottfaughn as party pad and money laundering portal bc the legally elected Gov. takes their golden goose tax credits and lobbyist positions away/exposes their corruption #Disbar/Impeach ALL ATTACKERS OF @EricGreitens #Fraud</t>
  </si>
  <si>
    <t>@AndrewHavKY3 @walshgina Hey genius, if you had any journo qualification you wouldn't publish the 'opinion' of the oppo but do some research on your own skills to report a fair info. #FakeNewsKY3 that's why I boycott your news trash
Like your democRAT handlers? https://t.co/kWhmhUMbKS</t>
  </si>
  <si>
    <t>RT @SiddonsDan: “Mueller threatened subpoena for Trump if he didn't volunteer for sit down! ⋆ Maybe he should go to that interview, with ca…</t>
  </si>
  <si>
    <t>RT @TrumpTrainMRA4: @Hope4Hopeless1 @POTUS @SykesforSenate  https://t.co/QdWWvd9oBY</t>
  </si>
  <si>
    <t>RT @BigLeague2020: @Hope4Hopeless1 @POTUS @SykesforSenate #MOSEN #MISSOURI
WE NEED LEADERS
🇺🇸SYKES FOR SENATE🇺🇸
🇺🇸LEADERSHIP WITH INTEGR…</t>
  </si>
  <si>
    <t>RT @Hope4Hopeless1: .@POTUS #Missourians we MUST #FireCommieClaire 
&amp;amp;
PURGE THE
Spineless Establishment's #1 Danforth/McConell RECRUIT, THE…</t>
  </si>
  <si>
    <t>RT @SiddonsDan: “Personal attacks, ridiculous accusations, &amp;amp; downright lies thinly disguised as jokes..I didn’t want to believe this, it se…</t>
  </si>
  <si>
    <t>@GOP @realDonaldTrump If you so much like what our President achieves, why don't you support and protect President Trump and his team members from the reprobate democRATs?</t>
  </si>
  <si>
    <t>RT @Frank_Pasemann: Es war nur eine Frage der Zeit, bis sich ein Bewohner des linksgrünen Paralleluniversums so zu #Ellwangen äußern würde.…</t>
  </si>
  <si>
    <t>@Sticknstones4 @Norasmith1000 @JW1057 @VisioDeiFromLA @EricGreitens @Eric_Schmitt @Rep_TRichardson Obviously @scottfaughn was not only the party pad for these moral reprobate 'politicians', looks like he is also their money laundering machine. They didn't think it comes out - like Killary used a law firm to hide financing the vile dossier 
#MoLeg #MoGov #MOSen #MOGOP</t>
  </si>
  <si>
    <t>RT @VisioDeiFromLA: Which means #MoLeg committee headed by barnes &amp;amp; much of #MoGov is tainted &amp;amp; has bias against @EricGreitens 
The people…</t>
  </si>
  <si>
    <t>While the #democRATTrashPoliticians are using their positions 4 time in the lime light about Russia &amp;amp; whores the needs of our #VAs are pushed under the rug and people like Admiral Jackson are ruined to prevent effective changes for those that really served our country #Repugnant https://t.co/39zCzEHTP7</t>
  </si>
  <si>
    <t>@realDonaldTrump Mr. President, SUE the repugnant whore and her slimy corrupt partner in crime Avenatti for defamation and slandering the President of our country, obstructing national interest.</t>
  </si>
  <si>
    <t>RT @realDonaldTrump: ...despite already having signed a detailed letter admitting that there was no affair. Prior to its violation by Ms. C…</t>
  </si>
  <si>
    <t>RT @realDonaldTrump: ...very common among celebrities and people of wealth. In this case it is in full force and effect and will be used in…</t>
  </si>
  <si>
    <t>RT @realDonaldTrump: Mr. Cohen, an attorney, received a monthly retainer, not from the campaign and having nothing to do with the campaign,…</t>
  </si>
  <si>
    <t>RT @realDonaldTrump: Our great financial team is in China trying to negotiate a level playing field on trade! I look forward to being with…</t>
  </si>
  <si>
    <t>RT @realDonaldTrump: Ainsley Earnhardt, a truly great person, just wrote a wonderful book, “The Light Within Me,” which is doing really wel…</t>
  </si>
  <si>
    <t>RT @realDonaldTrump: As everybody is aware, the past Administration has long been asking for three hostages to be released from a North Kor…</t>
  </si>
  <si>
    <t>RT @realDonaldTrump: “This isn’t some game. You are screwing with the work of the president of the United States.”  John Dowd, March 2018.…</t>
  </si>
  <si>
    <t>RT @realDonaldTrump: Today, it was my great honor to celebrate the #NationalDayOfPrayer at the @WhiteHouse, in the Rose Garden! Proclamatio…</t>
  </si>
  <si>
    <t>@ClancysDaddy @JW1057 @ws_missouri  https://t.co/LNpR2CCqmF</t>
  </si>
  <si>
    <t>@mrsmaisy When I inquired at MOGOP why Petersen is on our list as a known libertarian: "Petersen is Pro-Life, so he felt outcasted by the Libertarian and came over to the Republicans"
Time to press integrity from #MOGOP to take Petersen off.
Here are some more bonbons from Petersen https://t.co/PjWDzfJhQS</t>
  </si>
  <si>
    <t>@ws_missouri Report about little league, you probably know and interpret at least those regulations properly🤢</t>
  </si>
  <si>
    <t>@ws_missouri The lawyer incl. #MoLeg should be disbarred and prosecuted for malfeasance and abuse of power and you should no longer be allowed to report about this bc you are misleading https://t.co/Ie5YLwgfSF</t>
  </si>
  <si>
    <t>@ClancysDaddy @JW1057 @ws_missouri Hey, you are either ignorant or dumb, live in a banana republic move to Venezuela or East Congo. We are a country of Law &amp;amp; Order. Allowing PROSECUTORIAL MALFEASANCE, the 'court of opinion' instead of upholding DUE PROCESS can effect you next.</t>
  </si>
  <si>
    <t>RT @DeplorableGoldn: Witch-hunt! 😒
RT 🚨
It's becoming DIRECTLY VISIBLE that #MoLeg is LYING TO GET RID OF GOV. GREITENS TO COVER THEIR ASSE…</t>
  </si>
  <si>
    <t>RT @JW1057: @aaron_hedlund @CDTCivilWar @missioncontinue @BooneCoMOGOP @GovGreitensMO @EricGreitens The only crime that I see is fraud. Tha…</t>
  </si>
  <si>
    <t>RT @ResignNowKim: @MarkReardonKMOX @JW1057 @scottfaughn THANK YOU MARK!!!!!!  Thank you for asking these questions.  @scottfaughn actually…</t>
  </si>
  <si>
    <t>RT @JW1057: @MarshallGReport @EricGreitens @jrosenbaum The issue is NOT how EG got the list. The issue is how the campaign got the list and…</t>
  </si>
  <si>
    <t>RT @JW1057: @KMOVMatt The problem is not @EricGreitens thinks he is above the law. The problem is that people like @jaybarnes5 and Gail McC…</t>
  </si>
  <si>
    <t>RT @VisioDeiFromLA: @Markknight45 @internalmonolo2 It's not about cheating on his wife. Ite about tax credits and toys #MoLeg #Greitens</t>
  </si>
  <si>
    <t>RT @ResignNowKim: Chip Roberts is a disgrace to his office. He is participating in an illegal coup, knowingly.  @EricGreitens #greitens #mo…</t>
  </si>
  <si>
    <t>RT @RGreggKeller: YAAAASSSSSSSS!!!!!!!!!!!!!!! https://t.co/ywxC7w5CVw</t>
  </si>
  <si>
    <t>RT @JW1057: @sigi_hill @KRCG13 @jaybarnes5 Let's be honest the MO Legislature and Kim Gardner have taken a shredder to the Missouri and US…</t>
  </si>
  <si>
    <t>RT @TomJEstes: Great interview by @MarkReardonKMOX with @scottfaughn Scott sounds as guilty as sin. #moleg  https://t.co/FdgmUwUzuL</t>
  </si>
  <si>
    <t>@JW1057 @TeamGreitens @EricGreitens @SheenaGreitens @StLCountyRepub @MOHOUSECOMM @jeanielauer @Rep_TRichardson @gcmitts @shawnrhoads154 @TommiePierson @jaybarnes5 @KevinLAustin1 It's becoming DIRECTLY VISIBLE that #MoLeg is LYING TO GET RID OF GOV. GREITENS TO COVER THEIR ASSES
#MOSewer
#MoGov #MOSen #MOGOP</t>
  </si>
  <si>
    <t>RT @JW1057: A response to Edward 'Chip' Robertson Jr. @TeamGreitens @EricGreitens @SheenaGreitens @StLCountyRepub @MOHOUSECOMM 
#moleg #mo…</t>
  </si>
  <si>
    <t>RT @DukePesta: Great conversation with @TimUSCCA, president of the @USCCA, about practical ways to preserve American liberties and still pr…</t>
  </si>
  <si>
    <t>RT @DukePesta: Fake feminist Kathy Griffin breaks down in tears after being called out for tacky behavior.
Meanwhile, Sarah Huckabee Sand…</t>
  </si>
  <si>
    <t>RT @seanhannity: “Russia collusion is total fake news.”—Mayor Rudy Giuliani #hannity</t>
  </si>
  <si>
    <t>RT @seanhannity: “There’s been more government misconduct in this case than there has been conduct.”—Mayor Rudy Giuliani #hannity</t>
  </si>
  <si>
    <t>RT @seanhannity: “I do not know why the Justice Department is not investigating Hillary Clinton. James Comey rigged the whole case.”—Mayor…</t>
  </si>
  <si>
    <t>RT @seanhannity: “If they issue a subpoena, that would be unprecedented.”—Mayor Rudy Giuliani #hannity</t>
  </si>
  <si>
    <t>RT @seanhannity: “This has become a witch hunt like the President said. They’re ‘trap’ questions.”—Mayor Rudy Giuliani #hannity</t>
  </si>
  <si>
    <t>RT @seanhannity: “This is our best president in my memory.”—Mayor Rudy Giuliani #hannity</t>
  </si>
  <si>
    <t>RT @seanhannity: “What I offer to this is something unique...They know that the decision I make is going to be in the best interest of not…</t>
  </si>
  <si>
    <t>RT @seanhannity: “This is an outrageous miscarriage of justice.”-Mayor Rudy Giuliani #hannity</t>
  </si>
  <si>
    <t>RT @seanhannity: https://t.co/9czPvjnipC</t>
  </si>
  <si>
    <t>RT @jayMAGA45: You may not like this man, you may not like what he stands for, but in the end you will see that he had only one agenda. And…</t>
  </si>
  <si>
    <t>RT @B75434425: CONFIRMED: Former Feinstein Staffer Raised $50 Million, Hired Fusion GPS And Christopher Steele After 2016 Election 
https:/…</t>
  </si>
  <si>
    <t>RT @ROHLL5: Congratulations.@realDonaldTrump so very much deserved!  #MAGA #NobelPeacePrize  https://t.co/yd6yFWfle4</t>
  </si>
  <si>
    <t>RT @daumkeziah: To everyone causing so much negativity: I mean no disrespect to the Chinese culture. I’m simply showing my appreciation to…</t>
  </si>
  <si>
    <t>RT @RealTravisCook: #PuppyKiller! https://t.co/gu5XXNq81M</t>
  </si>
  <si>
    <t>RT RT to make this trending
#PrisonRelease
#PrisonRelease
#PrisonRelease
#PrisonRelease
#PrisonRelease
#PrisonRelease
#PrisonRelease
#PrisonRelease
#PrisonRelease
#PrisonRelease
#PrisonRelease
#PrisonRelease
Congratulations to our brilliant @POTUS @realDonaldTrump https://t.co/MNRPD51rRp</t>
  </si>
  <si>
    <t>RT @LouDobbs: #EndWitchHunt: @POTUS is meeting and managing the geopolitical and economic challenges of China and Russia, denuclearizing No…</t>
  </si>
  <si>
    <t>RT @chuckwoolery: #KanyeWest has made himself an enemy of the #DemocratProgressiveLeft. So how do they respond? Twist his words to fit thei…</t>
  </si>
  <si>
    <t>RT @magathemaga1: V 3
#MOLeg #MoGov #greitens #missouri #MoneyBagsAl #ScammingScott #kimshady #STL #KCMO #politicalhumor #satire https://t…</t>
  </si>
  <si>
    <t>RT @magathemaga1: V 2
#MoLeg #MoGov #greitens #Missouri #StLouis #KCMO https://t.co/86gZlxzmE1</t>
  </si>
  <si>
    <t>RT @MaasVoll: https://t.co/0fkc71qUnM</t>
  </si>
  <si>
    <t>#FireMuellerNow https://t.co/eqcVZFwqvh</t>
  </si>
  <si>
    <t>RT @Jamierodr10: CNN Hosts Porn Stars Lawyer 59 Times In Less Than Two Months!! CNN NUMBER #1 IN #FakeNews! THIS IS WHY I HAVE FRIENDS THAT…</t>
  </si>
  <si>
    <t>RT @pjbowles4: # Trumpville 
@streetbear57
@sukko0511
@ProudUSAer 
@MikoGrey247
@underdogs 
@bud_cann 
@bethtcoast
@787Fixer 
@SAMISOMETIME…</t>
  </si>
  <si>
    <t>RT @dawg_lb: Maxine, who are you to determine when anybody is allowed to speak. Guess you have not read the constitution or you are unable…</t>
  </si>
  <si>
    <t>RT @theflash__8: #MrPresident #PresidentTrump [.@realDonaldTrump ]:
YOU OWN THE @TheJusticeDept ! YOU ARE NOT SUBORDINATE TO #RobertMueller…</t>
  </si>
  <si>
    <t>#PrisonerRelease 
#PresidentTrumpForNobelPeacePrice https://t.co/SxplQ634fg</t>
  </si>
  <si>
    <t>RT @1776Stonewall: way to go liberal feminists. You successfully attacked Young boys https://t.co/u498L2WEPe</t>
  </si>
  <si>
    <t>RT @hickorymtnman: And now for a shot of troll be gone spray
Since Rosenstein's duties are executive, the executive branch gets to fire hi…</t>
  </si>
  <si>
    <t>RT @hickorymtnman: When your boss tells you to do something, you do it!
If you don't, it's not being "extortorted", it's being terminated…</t>
  </si>
  <si>
    <t>RT @RepLeeZeldin: May is #MilitaryAppreciationMonth. Let's always cherish to the max the sacrifice of our military men &amp;amp; women in defense o…</t>
  </si>
  <si>
    <t>RT @RealCandaceO: Freedom is not a political ideology.</t>
  </si>
  <si>
    <t>RT @Education4Libs: Libs are relentlessly attacking a white high school girl for wearing a Chinese dress to prom, claiming that it’s “cultu…</t>
  </si>
  <si>
    <t>#PrisonerRelease https://t.co/uXMMDOjrmL</t>
  </si>
  <si>
    <t>RT @Liz_Wheeler: The Boy Scouts can remove the word "boy" from their name, but they can't remove the scientific fact that boys are differen…</t>
  </si>
  <si>
    <t>RT @IsraelUSAforevr: BREAKING: North Korea has released all U.S. detainees at the request of President Trump.</t>
  </si>
  <si>
    <t>RT @IvankaTrump: Honored to attend the swearing in of our nation’s 70th Secretary of State Mike Pompeo. @SecPompeo, this country is fortuna…</t>
  </si>
  <si>
    <t>RT @WhiteHouse: Gina Haspel has displayed dedication and leadership throughout her more than three decades of service with the CIA and is t…</t>
  </si>
  <si>
    <t>@DrewMitrisin Nothing funny when #MoLeg LIES AND CORRUPTS to get rid of a duly elected Governor bc he dismantles their dirty games of abuse of power!
That's a crime! https://t.co/Pkse9DEYXv</t>
  </si>
  <si>
    <t>Congratulations to our brilliant @POTUS @realDonaldTrump 
🇺🇸🇺🇸🇺🇸🇺🇸🇺🇸🇺🇸
Bring'em home
President Trump for Nobel Peace Price! https://t.co/sVMmos4Fyn</t>
  </si>
  <si>
    <t>RT @Str8DonLemon: #MOLEG #MOGOV #MOSEN
ANNOUNCEMENT 
#MISSOURI FAMOUS 
@Str8DonLemon
HAS HUGE ANNOUNCEMENT 
245 CST 
U R NOT GOING 2…</t>
  </si>
  <si>
    <t>@ws_missouri @Str8DonLemon You call that 'journalism'? You had no intend to do "investigative journalism". Well, that's why we call it in Springfield the SpringfieldMisleader</t>
  </si>
  <si>
    <t>@Str8DonLemon @EricGreitens In other words #MoLeg IS LYING TO THE PEOPLE OF MISSOURI
@AGJoshHawley #Resign 🚫 #USSenate
MUST #Resign 
@Rep_TRichardson 
@jaybarnes5 
@Mikelkehoe 
@RonFRichard
@elijahhaahr</t>
  </si>
  <si>
    <t>Missouri Crimes Scene https://t.co/EfQeBs1ing</t>
  </si>
  <si>
    <t>C. Hanaway calls report "tremendous disservice to the U.S. and Missouri Constitutions." 
YOU LIED #MOGov #MoLEG❗️
@AGJoshHawley #Resign 🚫 #USSenate
MUST #Resign 
@Rep_TRichardson 
@jaybarnes5 
@Mikelkehoe 
@RonFRichard
@elijahhaahr
https://t.co/XvolVeZUkb … Missouri Crimes</t>
  </si>
  <si>
    <t>https://t.co/b7l2CtkyGw</t>
  </si>
  <si>
    <t>@jaybarnes5 what is your goal?
As a lawyer &amp;amp; representative of the People of MO you forge false statement to compromise the 'uncomfortable Governor' that we legally elected?
Looks like the fake investigative committee needs 2B investigated for ABUSE OF POWER
#MoLeg #MoGov #MOSen</t>
  </si>
  <si>
    <t>@KRCG13 @jaybarnes5 @AGJoshHawley @Rep_TRichardson @Mikelkehoe @RonFRichard @elijahhaahr MISSOURI CRIMES
https://t.co/XvolVeZUkb https://t.co/e3Ja5enFXt</t>
  </si>
  <si>
    <t>@KRCG13 @jaybarnes5 @AGJoshHawley #Resign as AG + as candidate for #USSenate
MUST #Resign due to breach of trust/Due Process
@Rep_TRichardson 
@jaybarnes5 
@Mikelkehoe 
@RonFRichard
@elijahhaahr
https://t.co/XvolVeZUkb Missouri Crimes</t>
  </si>
  <si>
    <t>@KRCG13 @jaybarnes5 what is your goal?
As a lawyer &amp;amp; representative of the People of MO you forge false statement to compromise the 'uncomfortable Governor' that we legally elected?
Looks like the fake investigative committee needs 2B investigated for ABUSE OF POWER
#MoLeg #MoGov #MOSen</t>
  </si>
  <si>
    <t>@jonesmarkh @KRCG13 @EricGreitens Director of the MO NEA, hm... THE most racist aggressive union in America to subvert/brainwash our kids into socialism through school teachers in accordance with Alinsky's rule for radicals. Of course you are out to slander, that's your tactic.</t>
  </si>
  <si>
    <t>RT @Sticknstones4: 7 motions filed and there’s a computer glitch not available to the public ?
Yeah Right , a glitch just like the video ta…</t>
  </si>
  <si>
    <t>RT @1776Stonewall: And North Korea has agreed to release the American prisoners</t>
  </si>
  <si>
    <t>RT @1776Stonewall: Donald Trump has officially been nominated for a Nobel Peace Prize</t>
  </si>
  <si>
    <t>RT @RyanAFournier: BREAKING: North Korea has released all U.S. detainees at the request of President Trump.</t>
  </si>
  <si>
    <t>RT @RealCandaceO: Currently. https://t.co/XMxS2QTlOI</t>
  </si>
  <si>
    <t>RT @RyanAFournier: BOMBSHELL: A source I know told me that sources they know said that a source they know heard that Robert Mueller admitte…</t>
  </si>
  <si>
    <t>RT @ScottPresler: THE PEACE PRESIDENT: Meeting another Trump demand, North Korea released 3 American citizens that have been detained for y…</t>
  </si>
  <si>
    <t>RT @BackTheCops: Happy Birthday Max 🎉🎂🎈 https://t.co/1ubbat2tYz</t>
  </si>
  <si>
    <t>RT @realDonaldTrump: I have been briefed on the U.S. C-130 “Hercules” cargo plane from the Puerto Rico National Guard that crashed near Sav…</t>
  </si>
  <si>
    <t>RT @JW1057: @ws_missouri @ResignNowKim KS never says coercion in Tisaby interview. Doing something that you don't want to do isn't coercion…</t>
  </si>
  <si>
    <t>RT @magathemaga1: "Life imitates Art far more than Art imitates Life" -Oscar Wilde 
As #MoLeg looks 2 screw @EricGreitens in new ways, I'v…</t>
  </si>
  <si>
    <t>RT @ResignNowKim: @lindsaywise “...Never met Al Watkins in my life...” Then how did he know Skyler’s name?  How many named partners remembe…</t>
  </si>
  <si>
    <t>RT @VisioDeiFromLA: So get #MoneyBagsAl to give a description of the perp? 
Seems very sketchy &amp;amp; not believable. Kind of like Scott's Book…</t>
  </si>
  <si>
    <t>@Avenge_mypeople These 'Moral Turpitude Apostles' need to be prosecuted for abuse of power</t>
  </si>
  <si>
    <t>RT @Avenge_mypeople: For example, if you shop in Chesterfield Valley, you pay an additional tax...on top of all other taxes, then that tax…</t>
  </si>
  <si>
    <t>RT @Avenge_mypeople: Tax Increment Financing is what all of this is about in Missouri. #Greitens intends to stop it. Creating special taxin…</t>
  </si>
  <si>
    <t>RT @JW1057: @J_Hancock @EricGreitens You know what is even more scandalous? The taxes were paid on the lakefront property with a check endo…</t>
  </si>
  <si>
    <t>RT @JW1057: @WakeUp2Politics @EricGreitens When "journalist" stop being cash curriers for political opponents!</t>
  </si>
  <si>
    <t>RT @JW1057: Why is no one asking why the indictment was drafted on 12/22/17? Three weeks before tape aired and investigation began. KG is a…</t>
  </si>
  <si>
    <t>@Rep_TRichardson @jaybarnes5 #moleg #mogov #greitens #KimShady #IStandWithGreitens
Why the haste - #Accomplices 🤔crimes/abuse of power &amp;amp; now CYA🤬
Doesn't the judge's gag order apply 2corrupt #MoLegislators the 'Moral Turpitude Team'🤔
https://t.co/XvolVeZUkb MO Crimes MO Knows https://t.co/yN3b4Jdm0v</t>
  </si>
  <si>
    <t>RT @RightSideUp313: @jrosenbaum @scottfaughn @EricGreitens Skyler Roundtree worked for Bruners campaign and is connected to Faughn, that’s…</t>
  </si>
  <si>
    <t>RT @JW1057: @ws_missouri I love these one-sided reports from corrupt house members. They are so easily discredited, just like Kitty.
#mole…</t>
  </si>
  <si>
    <t>@Rep_TRichardson @jaybarnes5 #moleg #mogov #greitens #KimShady #IStandWithGreitens
Does the judge's gag order not apply to the corrupt #MoLegislators? 
Why the haste - #Accomplices to crimes/abuse of power and now CYA?
https://t.co/XvolVfhvIL Missouri Crimes https://t.co/SFW1JXSQVZ</t>
  </si>
  <si>
    <t>RT @JW1057: I fight harder for @EricGreitens. 
@SheenaGreitens @TeamGreitens @CStamper_ @Sticknstones4 @MactavishShawn @melody_grover @Mis…</t>
  </si>
  <si>
    <t>RT @VisioDeiFromLA: @jrosenbaum @EricGreitens @Hope4Hopeless1 @Sticknstones4 @SKOLBLUE1 @Eric_Schmitt @GOPMissouri @STLCountyGOP @paulcurtm…</t>
  </si>
  <si>
    <t>RT @VisioDeiFromLA: @jrosenbaum @EricGreitens Tweets from PS 
These are the actions of somebody who is mad his wife CHEATED ON HIM with @E…</t>
  </si>
  <si>
    <t>RT @VisioDeiFromLA: @jrosenbaum @EricGreitens Here is the story that goes over PS taunting tweets 
#moleg #mogov #Greitens 
https://t.co/…</t>
  </si>
  <si>
    <t>RT @VisioDeiFromLA: @jrosenbaum @EricGreitens If you look at the ex husbands tweets where he was taunting @EricGreitens ... he never once r…</t>
  </si>
  <si>
    <t>RT @JW1057: @scottfaughn Was that $50k report to the IRS? Why did you give Skylar the other $50k? Did you file Form 8300? IRS is likely goi…</t>
  </si>
  <si>
    <t>@TrumpChess @Sticknstones4 @jrosenbaum @POTUS Here you go https://t.co/8jjUf9nEFA</t>
  </si>
  <si>
    <t>RT @Sticknstones4: @jrosenbaum What did she mean by this lobbyist group 
https://t.co/ZDBppBX8EU</t>
  </si>
  <si>
    <t>#MoLeg #MoGov #MOSen #MOGOP
Please advise: https://t.co/nV087ityHl</t>
  </si>
  <si>
    <t>RT @Sticknstones4: @YearOfZero @Mizzourah_Mom I suspect these Missouri 5 need to be scrutinized 
Jay Barnes (R), Don Phillips (R), Kevin A…</t>
  </si>
  <si>
    <t>RT @JW1057: A friendly reminder that since April 11, 2018 The Committee has been operating without authority. If it The Committee wasn't sh…</t>
  </si>
  <si>
    <t>RT @VisioDeiFromLA: @TrumpChess @Eric_Schmitt @Rep_TRichardson @Norasmith1000 @SKOLBLUE1 @HotPokerPrinces @Sticknstones4 @philip_saulter @H…</t>
  </si>
  <si>
    <t>RT @lindsaywise: Asked Al Watkins if he could identify Skyler as the courier from a photo, or debunk the rumor. He said: "Now that I am a w…</t>
  </si>
  <si>
    <t>RT @mitchellvii: Funny I have to explain this so often.
Do you understand the concept of a sting operation?
In a sting operation, ALL OF…</t>
  </si>
  <si>
    <t>RT @mitchellvii: Look to the #RESULT to discern the #INTENT.
After a year of Mueller, who is NOT in trouble? Trump. Who IS in trouble? #De…</t>
  </si>
  <si>
    <t>RT @mitchellvii: If you want to understand Trump, think in these terms:
Nothing is an accident.
As a matter of fact, the things Trump doe…</t>
  </si>
  <si>
    <t>RT @mitchellvii: Every day I read about Democrats, literally the Party of Perversion, finding sex of any kind, much less with an actual por…</t>
  </si>
  <si>
    <t>RT @mitchellvii: POWERFUL SHOW! The Awakening of Hispanics! – YourVoice America https://t.co/Qghr88yFIQ via @@mitchellvii</t>
  </si>
  <si>
    <t>RT @mitchellvii: I'm confused, why do black people think voting Democrat is good for them?
In 8 years, Obama did NOTHING for blacks.</t>
  </si>
  <si>
    <t>RT @mitchellvii: All of this delaying in delivery of documents is just to slow walk this whole #DeepState takedown so it peaks right before…</t>
  </si>
  <si>
    <t>N.E.V.E.R‼️
💯OBAMA IS A TREASONOUS CRIMINAL THAT FINANCED ISIS AND WARS AND DESTROYED AMERICA
🚨ONLY @POTUS Pres. Trump STANDS AS PATRIOT AND FOR WORLD-PEACE 🇺🇸 https://t.co/Y5IGitiISZ</t>
  </si>
  <si>
    <t>RT @mitchellvii: REPORT: After a Year in Office Trump Out Performs Obama in EVERY ECONOMIC MEASUREMENT https://t.co/cVY8sxrg0O</t>
  </si>
  <si>
    <t>RT @mitchellvii: Mueller leaking his questions for Trump was like lighting all your fireworks on the 3rd of July.  If Mueller was really af…</t>
  </si>
  <si>
    <t>RT @mitchellvii: No Collusion Questions! – YourVoice America https://t.co/xzpeY9aGCM via @@mitchellvii</t>
  </si>
  <si>
    <t>RT @mitchellvii: NOW No Collusion Questions! – YourVoice America https://t.co/xzpeY9aGCM via @@mitchellvii</t>
  </si>
  <si>
    <t>RT @mitchellvii: THIS is unfreakin believable to see. https://t.co/TRYpKU1xvZ</t>
  </si>
  <si>
    <t>RT @FoxNews: .@VP Mike Pence delivers keynote remarks at an America First Policies event in Tempe, Arizona. https://t.co/9JUJsTEnko</t>
  </si>
  <si>
    <t>RT @TrumpDC: Thank you @DonaldJTrumpJr for stopping by to congratulate our team on achieving the Forbes 5-Star Award! @ForbesInspector #was…</t>
  </si>
  <si>
    <t>RT @mdamelincourt: Starting the day with my boss @DonaldJTrumpJr at @TrumpDC  Cannot thank Don and @EricTrump enough for all their support…</t>
  </si>
  <si>
    <t>RT @DonaldJTrumpJr: It was my pleasure guys. Keep up the amazing work and congrats on the… https://t.co/5GvGo1Qd0J</t>
  </si>
  <si>
    <t>RT @Scavino45: Tonight’s disastrous #WHCD was a great reminder as to why @realDonaldTrump is our 45th @POTUS! #WINNING🇺🇸 https://t.co/C8IWH…</t>
  </si>
  <si>
    <t>RT @Scavino45: ICYMI - You can follow the 70th Secretary of @StateDept on Twitter at @SecPompeo🇺🇸 https://t.co/iSjbeH7c9E</t>
  </si>
  <si>
    <t>RT @Scavino45: Congratulations @StateDept @SecPompeo! https://t.co/vkJs4gURfW</t>
  </si>
  <si>
    <t>RT @PressSec: Welcome to Twitter @SecPompeo! You are going to be an amazing Secretary of State for @POTUS and we are all excited to work wi…</t>
  </si>
  <si>
    <t>Prosecute @SenatorTester for slander and harassment https://t.co/N8kaGgUeyf</t>
  </si>
  <si>
    <t>RT @PressSec: Love @SBALinda and all she does for small businesses across our great country. #SmallBusinessWeek https://t.co/jmwotayDwv</t>
  </si>
  <si>
    <t>RT @PressSec: .@POTUS speaks @StateDept and welcomes @SecPompeo as the new Secretary of State to applause and cheers. https://t.co/VVcldsQT…</t>
  </si>
  <si>
    <t>@JTMYVA @realDonaldTrump Don't say that @JTMYVA, Justice Powers are getting stronger by the day!
#MAGA #AmericaFirst #KAG2020 #TrumpAllTheWay</t>
  </si>
  <si>
    <t>@krassenstein @ChicagoPhotoSho @realDonaldTrump That these ass-heads even risk to be in public - criminals are psychopaths/sociopaths</t>
  </si>
  <si>
    <t>@krassenstein @ChicagoPhotoSho @realDonaldTrump KrASSenstein brothers are a pair of overly-effeminate and utterly obnoxious anti-Trump Twatter trolls. When they're not busy committing wire fraud through illegal Ponzi schemes or selling garbage libtard children's books, KrASS brothers are online trolling Trump 24/7 ☠️ https://t.co/7K6hwl7nqG</t>
  </si>
  <si>
    <t>@TommyYoumans2 @lootintheloft @stopthenutjob @realDonaldTrump Is there a reason why you knuckleheads are defending mafiaboss Mueller/Comey and the 'democrat terror organization'? #Accomplices? #LiberalismIsAMentalDisease 
#MAGA #KAG2020 all the way #AmericaFirst 🇺🇸🇺🇸🇺🇸🇺🇸🇺🇸#NRA #Military
https://t.co/YyQdHyIzgw</t>
  </si>
  <si>
    <t>@realDonaldTrump @AGJeffBSessions The 'Democrat Terror Organization' is hindering the #MAGA process that YOU Mr President &amp;amp; your team are already achieving. All they do is slander, attack and harass POTUS and our country = We The People .   PLEASE END THEIR TREASON!
@AGJeffBSessions where is the HORROWITZ-REPORT!</t>
  </si>
  <si>
    <t>@realDonaldTrump DO IT Mr. President.THAT'S WHAT WE ELECTED YOU TO DO #DrainTheSewer IN DC. FIRE ALL OBAMA HOLDOVERS &amp;amp; NeverTrumpers AS FAR AS YOUR AUTHORITY REACHES.What're they going to do – start a civil war,they don't have any guns or do they?@AGJeffBSessions prosecute these HIGH CRIMINALS</t>
  </si>
  <si>
    <t>RT @realDonaldTrump: Congratulations @SecPompeo! https://t.co/ECrMGkXMQF</t>
  </si>
  <si>
    <t>RT @realDonaldTrump: A Rigged System - They don’t want to turn over Documents to Congress. What are they afraid of? Why so much redacting?…</t>
  </si>
  <si>
    <t>RT @realDonaldTrump: NEW BOOK - A MUST READ! “The Russia Hoax - The Illicit Scheme to Clear Hillary Clinton and Frame Donald Trump” by the…</t>
  </si>
  <si>
    <t>RT @realDonaldTrump: “The questions are an intrusion into the President’s Article 2  powers under the Constitution to fire any Executive Br…</t>
  </si>
  <si>
    <t>RT @realDonaldTrump: There was no Collusion (it is a Hoax) and there is no Obstruction of Justice (that is a setup &amp;amp; trap). What there is i…</t>
  </si>
  <si>
    <t>RT @realDonaldTrump: Congratulations @ArmyWP_Football! https://t.co/rmaLoZMWtK</t>
  </si>
  <si>
    <t>RT @StephenMilIer: There are troubling unconfirmed reports that Adam Schiff has a weird obsession to kill puppies. 
Mr. Shiff should have…</t>
  </si>
  <si>
    <t>#GreitensWitchHunt #bullshit #moleg #mogov #MOGOP https://t.co/ZJyAAsv11O</t>
  </si>
  <si>
    <t>RT @lindsaywise: BREAKING PSA: A Missouri U. law student named Skyler Roundtree wants everyone to know he was NOT the 2nd courier for the A…</t>
  </si>
  <si>
    <t>RT @Hope4Hopeless1: @MariaChappelleN @CDTCivilWar @tonymess @scottfaughn @MissouriTimes @MOEthics Please elaborate! Does this have anything…</t>
  </si>
  <si>
    <t>#moleg #mogov #greitens #KimShady #IStandWithGreitens https://t.co/55qjlnIL7U</t>
  </si>
  <si>
    <t>@EggerTWS @JW1057 @YearOfZero @jaybarnes5 @EggerTWS you are another DNCMediaMob. Nothing you say has any credibility and you know exactly that you don't know anything bc you just gab what you hear for your AccomplicesMedia. Missourians are smarter than you asses think, we support our Governor Greitens.  Go kiss Killary.</t>
  </si>
  <si>
    <t>@JW1057 @EggerTWS @YearOfZero @jaybarnes5 Egger, you are another DNCMediaMob. Nothing you say has any credibility and you know exactly that you don't know anything bc you just gab what you hear for your AccomplicesMedia. Missourians are smarter than you asses think, we support our Governor Greitens.  Go kiss Killary.</t>
  </si>
  <si>
    <t>@hzahaley @allisonmack "@threadreaderapp unroll"</t>
  </si>
  <si>
    <t>MUST READ!
Protect your children from these satans! https://t.co/RKdKofoWlu</t>
  </si>
  <si>
    <t>RT @RealMAGASteve: A group of 18 Republican lawmakers have signed their names to a letter formally nominating President Trump for a Nobel P…</t>
  </si>
  <si>
    <t>RT @Sheeple201: @sharonl63959330 @PunkyPaneteddo @justice69hall @JohnWUSMC @sealeney @Sequencer16 @seventh7hunter1 @shad39 @SharonEckman2 @…</t>
  </si>
  <si>
    <t>RT @Sticknstones4: @blackwidow07 While Missouri Sleeps,  #MoLeg boozes it up with Lobbyists conspiring to line their pockets with cash</t>
  </si>
  <si>
    <t>@Sticknstones4 Exactly my point! Jamilah Nasheed takes a knee to the flag and protests Pledge of Allegiance, such fine representatives 🤮 https://t.co/lH6J1vwroB</t>
  </si>
  <si>
    <t>RT @Sticknstones4: Jamilah Nasheed Sleeps at Scott Faughns 
How many more #Moleg sleep at Scott’s?
How many elected Senators &amp;amp; Representa…</t>
  </si>
  <si>
    <t>RT @Sticknstones4: @sigi_hill @EricGreitens Nothing Ethical or Tranparent about these Closed Door Sesssions.
They are Not Credible and tho…</t>
  </si>
  <si>
    <t>RT @DoingThings2017: @VisioDeiFromLA @sigi_hill @EricGreitens @Norasmith1000 @SKOLBLUE1 @HotPokerPrinces @Sticknstones4 @strmsptr @Hope4Hop…</t>
  </si>
  <si>
    <t>RT @Sticknstones4: @sigi_hill @jaybarnes5 @jeanielauer @KevinLAustin1 @shawnrhoads154 Written By @JW1057  Justice Warrior 
Stay #Greitens…</t>
  </si>
  <si>
    <t>RT @ShShShShShSh555: @CrysLvsTurtles @Education4Libs @sigi_hill She's fading so she just sued for defamation to try to keep her name alive.</t>
  </si>
  <si>
    <t>RT @CovfefeLadyC: @RobertDeniro thinks the #WCD was well deserved for #TrumpsAdmin.
Well @RobertDeniro we will have to show you who we are…</t>
  </si>
  <si>
    <t>RT @seanhannity: WATCH: Huckabee Sanders roasts Adam Schiff over leaked Mueller questions... https://t.co/1C3HwSeLTs</t>
  </si>
  <si>
    <t>RT @ScottPresler: VICTORY: Costa Mesa voted 3-2 to adopt a resolution opposing SB 54. 
Yesterday was a slam dunk for Republicans! We liter…</t>
  </si>
  <si>
    <t>RT @dbongino: Democrats 2018:
- You’re a victim
- You’re defined exclusively by your race, sex, &amp;amp; immigration status
- Men suck
- Borders s…</t>
  </si>
  <si>
    <t>RT @CoreyLMJones: Make Boy Scouts Boys Again!
The “Boy Scouts” are now dropping their name after 108 years due to complaints about them no…</t>
  </si>
  <si>
    <t>RT @SaraCarterDC: Sure they are Ben. The Obama Admin gave Iran everything up front and a “sunset clause” Not smart negotiating tactics... h…</t>
  </si>
  <si>
    <t>RT @TyEducatingLibs: In other nutty leftist news today, the Boy Scouts will no longer be called “Boy” Scouts to be more inclusive.
They wi…</t>
  </si>
  <si>
    <t>I used to home school our children and totally agree! We MUST stop the 'democrat terror organization', every where - witch hunt on Pres. Trump - witch hunt on MO Gov. Greitens - sickening how blind people are not to see through the corruption or not wanting to see it https://t.co/6ACcMAGReD</t>
  </si>
  <si>
    <t>@RyanAFournier @DukePesta I used to home school our children and totally agree! Will follow him. We MUST stop the 'democrat terror organization', every where - witch hunt on Trump - witch hunt on MO Gov. Greitens, sickening how blind people are not to see through the corruption or not wanting to see it</t>
  </si>
  <si>
    <t>@RealTravisCook I think we really have to start a physical revolution to bring down the 'democrat terror organization' - there is no other way to describe them, starting at the local levels, see the Greitens scam as well</t>
  </si>
  <si>
    <t>RT @CDTCivilWar: The dispute between @tonymess and @scottfaughn reminds me of 2015, when I wrote about  @MissouriTimes #moleg parties that…</t>
  </si>
  <si>
    <t>RT @VisioDeiFromLA: #BREAKING
#Missouri Gov. @EricGreitens has deployed troops to the southern border to help protect our nation and #Stop…</t>
  </si>
  <si>
    <t>RT @Mizzourah_Mom: The author has obviously pre-determined #Greitens is guilty before due process, but he spells out some of the key player…</t>
  </si>
  <si>
    <t>RT @Avenge_mypeople: Just to put this whole #Greitens  affair in perspective: Scott Faughn, owner of Missouri Times gave at least $50,000 t…</t>
  </si>
  <si>
    <t>RT @DevinNunes: This is a must read for new information by @LeeSmithDC .....Media gets destroyed again... https://t.co/DFjyK4piN2</t>
  </si>
  <si>
    <t>RT @seanhannity: Explosive new information on Iran’s secret nuclear program. Daniel Hoffman joins me next on #hannity. Stay with us.</t>
  </si>
  <si>
    <t>RT @ScottPresler: HUGE NEWS: Republicans are fired up in Florida.
✔️We won #HD39 60-40!
✔️We almost flipped #HD114 from blue to red &amp;amp; we o…</t>
  </si>
  <si>
    <t>RT @RealJack: Maxine Waters is attacking Kanye West for “talking out of turn” and needing help “formulating his thoughts.”
Just another ex…</t>
  </si>
  <si>
    <t>RT @Scavino45: https://t.co/abH0KoErIA</t>
  </si>
  <si>
    <t>RT @LVNancy: #IfSlaveryWasAChoice  you'd either live under the Democrats control. 
            Or get ostracized for being a free thinker…</t>
  </si>
  <si>
    <t>RT @PriscillasView: James Comey - if Hillary had won the 2016 election he would still be the FBI Director 🤦🏻‍♀️
“Secretary Clinton is someo…</t>
  </si>
  <si>
    <t>RT @Hoosiers1986: #TuesdayMotivation
Is it any wonder Libs don't like Sarah Huckabee Sanders?
Every day she's handing out ass-whoopings t…</t>
  </si>
  <si>
    <t>RT @chuckwoolery: Portland To Spend $750,000 On Illegal Alien Defense Funds https://t.co/8lgzT7TMXD https://t.co/vck82jzIJq</t>
  </si>
  <si>
    <t>RT @JackPosobiec: If the caravan is fleeing from Honduras why couldn’t they just stay in Mexico?</t>
  </si>
  <si>
    <t>RT @1776Stonewall: Oh that's a low blow man. Speaking of low blows, how's your mother? https://t.co/3jZxNqxHtU</t>
  </si>
  <si>
    <t>RT @DevinNunes: Myth busting by @ByronYork from November 2017... https://t.co/hzfllMGBvu</t>
  </si>
  <si>
    <t>RT @RealTravisCook: #Mueller needs to be served with #treason charges. https://t.co/rMtlupIpiC</t>
  </si>
  <si>
    <t>RT @Sticknstones4: @DaRon_McGee @PeterforMO @EricGreitens @Rep_TRichardson Why is Stacey Newman’s name on this,  that is clearly a conflict…</t>
  </si>
  <si>
    <t>@Sticknstones4 @DaRon_McGee @PeterforMO @EricGreitens @Rep_TRichardson We see how corrupt you all are 
#MoLeg #MoGov #MOSen #MOGOP #Greitens #WitchHunt https://t.co/XvolVeZUkb Missouri Crimes</t>
  </si>
  <si>
    <t>@Sticknstones4 @DaRon_McGee @PeterforMO @EricGreitens @Rep_TRichardson @PeterforMO community organizer? So you are an #Obamahite or would that be #ClaireMcCaskillhite? Explains it all aka #DeepStateSwamp to undo a legal election of the opposition in MO in coordination with #StLCAKimGardner. You guys are frauds.</t>
  </si>
  <si>
    <t>RT @ScottPresler: VICTORY: San Jacinto voted 3-1 to join the federal lawsuit against California. 
So many victories for conservatives in o…</t>
  </si>
  <si>
    <t>RT @1776Stonewall: @RealJamesWoods If Maxine Waters spoke her mind, she'd be speechless</t>
  </si>
  <si>
    <t>@ResignNowKim @tonymess @scottfaughn @EricGreitens Revealing article about the MO witch-hunt against Gov. @EricGreitens. "This corrupt committee (with an ax to grind) has subpoenaed Scott Faughn.They want to know where he got (their?) the money.Should be a fair and honest hearing, don’t you think?"
#Moleg
https://t.co/XvolVeZUkb</t>
  </si>
  <si>
    <t>RT @ResignNowKim: @tonymess @scottfaughn @EricGreitens Tony, are you seriously suggesting @EricGreitens fundraising, and @scottfaughn ‘s ye…</t>
  </si>
  <si>
    <t>RT @sigi_hill: @J_Hancock @EricGreitens @scottfaughn You mean the same corrupt house committee that wants to impeach @GovGreitensMO is inve…</t>
  </si>
  <si>
    <t>@J_Hancock @EricGreitens @scottfaughn You mean the same corrupt house committee that wants to impeach @GovGreitensMO is investigating @scottfaughn that paid slimy #MoneyBagsAl to help them impeach #Greitens? You are not suggesting that will be a proper investigation, are you?#WithHunt 
#MoLeg 
https://t.co/XvolVeZUkb</t>
  </si>
  <si>
    <t>RT @CStamper_: As of a few months ago deceptive media hack Scott Faughn was so broke he couldn’t even pay a bill that was under $1,500. He…</t>
  </si>
  <si>
    <t>RT @EdBigCon: @ws_missouri Hey Fools! We told you it was the tax credits weeks ago! #moleg</t>
  </si>
  <si>
    <t>@randy_creasman @ResignNowKim @RiverfrontTimes @KMOXPD @MarkReardonKMOX @DebbieMonterrey @johnrhancock @mskstl @scottfaughn Shut up and go back under your rock. #LiberalismIsAMentalIllness</t>
  </si>
  <si>
    <t>RT @ResignNowKim: @RiverfrontTimes YOU asked @KMOXPD @MarkReardonKMOX @DebbieMonterrey @johnrhancock @mskstl what they plan on doing, since…</t>
  </si>
  <si>
    <t>RT @VisioDeiFromLA: Good point 
#moleg #mogov #greitens 
#stlouis 
@EricGreitens @Eric_Schmitt @MissouriGOP @kmoxnews @MarkReardonKMOX ht…</t>
  </si>
  <si>
    <t>RT @EdBigCon: @ResignNowKim @kmoxnews @scottfaughn @KMOXPD @MarkReardonKMOX @DebbieMonterrey Isn’t weird that @McGrawMilhaven &amp;amp; @scottfaugh…</t>
  </si>
  <si>
    <t>@ResignNowKim @RGreggKeller @EricGreitens @scottfaughn Let's talk about corrupt #MoLeg #MoGov/corrupt @scottfaughn attacking @GovGreitensMO #WitchHunt
"..Faughn admitted state Rep. @elijahhaahr R Springfield, had lodged in a sleeping room at the #MissouriTimes’ business office in Jefferson City." 
https://t.co/inLcZUCFOp</t>
  </si>
  <si>
    <t>@ResignNowKim @RGreggKeller @EricGreitens @scottfaughn Hey @RGreggKeller, ever heard of 'Asset Protection from frivolous lawsuits'? #Scumbag Nothing wrong, all legal, except you want to use that to slander Governor @EricGreitens to stir the #WitchHunt with corrupt @scottfaughn and corrupt #MoLeg https://t.co/XvolVeZUkb</t>
  </si>
  <si>
    <t>RT @ResignNowKim: @RGreggKeller So @RGreggKeller : which client of yours is paying you to trash @EricGreitens ?  I mean, you’re running int…</t>
  </si>
  <si>
    <t>RT @ResignNowKim: @RLLohmann @RGreggKeller @cody4mo @edemery Hey Becky, does @cody4mo know you like to hang w @scottfaughn ?????  We know..…</t>
  </si>
  <si>
    <t>RT @YearOfZero: Guess nobody believing KS allegations? Why would they? 
What I’ve learned watching #MoLeg ... u r probably projecting. 50k…</t>
  </si>
  <si>
    <t>More history about corrupt #MoLeg/corrupt #MissouriTimes #MoGov #MOSen #MOGOP And these guys dare to use 'moral turpitude' claims to impeach/undo a legal election. 
ALL CORRUPT MOLEG SWAMP INVOLVED #RESIGN INCL. @AGJoshHawley 
https://t.co/JjoiVNHw1c</t>
  </si>
  <si>
    <t>Corrupt #MoLeg/corrupt #MissouriTimes #ScottFaughn👉paid #MoneyBagAl,crooked slimy lawyer o cheating hub #PhilSneed attacking @GovGreitensMO #WitchHunt
"..Faughn admitted state Rep. @elijahhaahr R Springfield,had lodged in a sleeping room@ #MissouriTimes’ https://t.co/inLcZUCFOp</t>
  </si>
  <si>
    <t>@Avenge_mypeople @RyanFamuliner @Str8DonLemon @strmsptr @ws_missouri Exactly!</t>
  </si>
  <si>
    <t>@RyanFamuliner @Str8DonLemon @strmsptr @ws_missouri Interest.revelations, proves our points about corrupt #MoLeg &amp;amp; corrupt #MissouriTimes. Thank you @RyanAFournier.
After the WHCD last Sat journos have lost even more credibility, 91% of 🇺🇸don't trust media, now it's probably 99%, journalism is dead. #GreitensWitchHunt</t>
  </si>
  <si>
    <t>RT @Str8DonLemon: @strmsptr @ws_missouri Is it really baseless after today's news? I asked him to tell me why my question was stupid yet he…</t>
  </si>
  <si>
    <t>RT @strmsptr: @ws_missouri Baseless??? The $50k(who knows how much more was spent) pretty much confirms our suspicions. But hey, whatever h…</t>
  </si>
  <si>
    <t>Out of the mouth of the 'SpringfieldMisleader'!
91% of 🇺🇸 doesn't trust #MediaMob and this paparazzi want's to discredit honest citizens that actually do his job: journalistic research! Unlike the #DNCreporters #FakeNews https://t.co/RHJpXVDvP5</t>
  </si>
  <si>
    <t>RT @Str8DonLemon: Journalists!
If U don't want public 2 mistrust U, dont berate citizens when we ask questions U SHOULD BE ASKING
Eg. KS/…</t>
  </si>
  <si>
    <t>RT @joelcurrier: Appeals court denies lawyer Al Watkins' plea to avoid questions about $100,000 payment https://t.co/v1MHWapySz via @stltod…</t>
  </si>
  <si>
    <t>RT @christoferguson: Some follow-up in this one: Scott Faughn, Missouri Times Publisher, Was Behind $50K Payment to Al Watkins. #Moleg http…</t>
  </si>
  <si>
    <t>RT @MoScarlet: Need Exec. Order from @EricGreitens for lifetime ban on some lobbying, 5-years for others. @HennessySTL "All five are in lin…</t>
  </si>
  <si>
    <t>RT @TuckerCarlson: Let's review. Trump ran promising to improve relations w/ Russia...voters agreed. But permanent DC hated the idea. They’…</t>
  </si>
  <si>
    <t>RT @StephenMilIer: The only 'obstruction' Trump committed, is the obstruction of the deep state.</t>
  </si>
  <si>
    <t>RT @magathemaga1: Good evening #MoLeg &amp;amp; #MoGov except @Rep_TRichardson 
#Missouri realizing even more the #GreitensIndictment is total wit…</t>
  </si>
  <si>
    <t>RT @magathemaga1: Hey @TomJEstes I have found the book project that Scott Faughn guy is TOTALLY working on! 😂😂🤣🤣
#satire
#MoLeg #MoGov #g…</t>
  </si>
  <si>
    <t>RT @Sticknstones4: 2nd broad daylight shooting today 
This one unresponsive  another plus 1 to Homocide Toll 
The other was shot in the he…</t>
  </si>
  <si>
    <t>RT @RightSideUp313: No charges filed, I guess real crime can wait till she’s done with #Greitens.... https://t.co/t2g3Adm4GY</t>
  </si>
  <si>
    <t>RT @philip_saulter: @DaRon_McGee @PeterforMO @EricGreitens @Rep_TRichardson I certainly hope our Republican super majority understands any…</t>
  </si>
  <si>
    <t>RT @ohsynesthesia: @DaRon_McGee @PeterforMO @EricGreitens @Rep_TRichardson I don't understand. The governor can have impeachment proceeding…</t>
  </si>
  <si>
    <t>RT @ohsynesthesia: @DaRon_McGee @PeterforMO @EricGreitens @Rep_TRichardson Does this not concern anyone,that their career can be decimated…</t>
  </si>
  <si>
    <t>RT @sigi_hill: @ohsynesthesia @DaRon_McGee @PeterforMO @EricGreitens @Rep_TRichardson Y so hasty w impeachment Rep. @DaRon_McGee?U don't ha…</t>
  </si>
  <si>
    <t>@ohsynesthesia @DaRon_McGee @PeterforMO @EricGreitens @Rep_TRichardson Y so hasty w impeachment Rep. @DaRon_McGee?U don't have anything to hide or an ax to grind, do U? Maybe a little plot to get rid of legal elections? @stlcao @kimgardner77th committed PROSECUTORIAL MALFEASANCE, perjured/paid witnesses! WTH,we don't need DUE PROCESS,DO WE? #Moleg</t>
  </si>
  <si>
    <t>RT @Sticknstones4: @KMOXKilleen How was 50k amassed❓How was it deposited to bank❓When was it withdrawn from account❓ is there a receipt fro…</t>
  </si>
  <si>
    <t>RT @DineshDSouza: Isn’t it time to hold the other Bill accountable? https://t.co/M3YHTTCfSt</t>
  </si>
  <si>
    <t>Revealing article about the MO witch-hunt against Gov. @EricGreitens. "This corrupt committee (with an axe to grind) has subpoenaed Scott Faughn.They want to know where he got (their?) the money.Should be a fair and honest hearing, don’t you think?"
#Moleg
https://t.co/XvolVeZUkb</t>
  </si>
  <si>
    <t>@jaybarnes5 #DonPhillips @jeanielauer
@KevinLAustin1 @shawnrhoads154 
#Moleg #MoGov #MOSen #MOGOP 
WE DEMAND ANSWERS &amp;amp; TRANSPARENCY TO THESE FINDINGS By HENNESSY'S VIEW
Is this why you did not fire Chappelle-Nadal, bc she knows? https://t.co/kHM8ELwCSY</t>
  </si>
  <si>
    <t>@Sticknstones4 @jaybarnes5 @jeanielauer @KevinLAustin1 @shawnrhoads154 Here is another article describing this 'trader committee' backstabbers, blindfolding their constituents/MO voters.
https://t.co/6Z3qHq82sq</t>
  </si>
  <si>
    <t>@Sticknstones4 @jaybarnes5 @jeanielauer @KevinLAustin1 @shawnrhoads154 This article must be broadcast, Don Phillips is on FB https://t.co/SXiJ2if1IR</t>
  </si>
  <si>
    <t>@Sticknstones4 We Greitens-supporters knew this is a corrupt witch-hunt on the outsider Governor. Now we need to push hard to expose these crooks and push for their prosecution @jaybarnes5 #DonPhillips @jeanielauer
@KevinLAustin1 @shawnrhoads154 + associates 
THE MO Witch-Hunt #Greitens
#moleg</t>
  </si>
  <si>
    <t>RT @RyanAFournier: BREAKING: Kim Jong-Un has agreed to meet President Trump at the demilitarized zone separating the two Koreas.</t>
  </si>
  <si>
    <t>RT @JacobAWohl: @realDonaldTrump @WhiteHouse Nobody has more respect for strong women more than President Trump</t>
  </si>
  <si>
    <t>RT @magathemaga1: Clean Missouri is Dem/#Soros redistricting scam wrapped in lipstick. STOP IT
✔Tell friends
✔Post on Facebook about scam…</t>
  </si>
  <si>
    <t>RT @TyEducatingLibs: Libs: “Never judge a person by the color of their skin.”
Also libs: “Mehhh, white privilege!”</t>
  </si>
  <si>
    <t>RT @1776Stonewall: There's a large #teacherwalkout happening, they want more pay.
So let me get this right, you want us to pay you more for…</t>
  </si>
  <si>
    <t>You are kidding, aren't you? He is an Obama-idiot, but he can't be this screwy🤯 https://t.co/LIaFwPP7Vx</t>
  </si>
  <si>
    <t>@DanCovfefe1 @thebradfordfile @Zola1611 @rektredpill @Trumperland @RuthieRedSox @stacy_redvirgo @poconomtn @DontMockMyTypos @Jillibean557 @GrizzleMeister You are kidding, aren't you? He is an Obama-idiot, but he can't be this screwy🤯</t>
  </si>
  <si>
    <t>RT @DallasIrey: Want a trip to #Trumpville
Daily #ShoutOuts
1) Leave “America’s Ride” in comments👇🏼for a spot
2) Follow All on the #ShoutOu…</t>
  </si>
  <si>
    <t>@IvankaTrump Thank you @IvankaTrump for all you do to contribute to #MAGA and women entrepreneurs. 💯🇺🇸</t>
  </si>
  <si>
    <t>That's why you are not President @JohnKasich, we knew you are a wussy traitor, women see through your slime.
💯@realDonaldTrump 
#MAGA #KAG2020 https://t.co/zJkVR3FmLZ</t>
  </si>
  <si>
    <t>@SaraCarterDC @RepMarkMeadows Bastard #Rosenstein is pushing buttons, only #DNCMedia falls for that</t>
  </si>
  <si>
    <t>RT @SaraCarterDC: .@RepMarkMeadows responds to DOG DAG Rosenstein https://t.co/1yJj9f30Rh</t>
  </si>
  <si>
    <t>RT @DonaldJTrumpJr: How about a way to archive a tweet without the world seeing it so you can go back and read the article attached later a…</t>
  </si>
  <si>
    <t>This is #CNNIsTerrorism /ClintonNewsNetwork intentional goal to create chaos any rate possible at any time, slandering our President and America wordwide #Felony https://t.co/d7Ww4hsZdx</t>
  </si>
  <si>
    <t>RT @CollinRugg: Comey: “I'm out there living my best life &amp;amp; he [Trump] wakes up tweeting at me."
COMEY, YOU LITERALLY WROTE AN ENTIRE NOVE…</t>
  </si>
  <si>
    <t>RT @realDonaldTrump: Today, it was my great honor to thank and welcome heroic crew members and passengers of Southwest Airlines Flight 1380…</t>
  </si>
  <si>
    <t>#moleg #mogov #greitens #KimShady #IStandWithGreitens
Illegal MO Witch-Hunt
@MOHouseGOP #Resign https://t.co/xNvPtrRFvM</t>
  </si>
  <si>
    <t>#moleg #mogov #greitens #KimShady #IStandWithGreitens https://t.co/RFpWR7rENb</t>
  </si>
  <si>
    <t>#moleg #mogov #greitens #KimShady #IStandWithGreitens https://t.co/k1Qw7bVGpY</t>
  </si>
  <si>
    <t>#moleg #mogov #greitens #KimShady #IStandWithGreitens https://t.co/tfnlpvqxGK</t>
  </si>
  <si>
    <t>RT @JCPenknife: For sale by Scott Faughn. Only used once. #mogov #Greitens #moleg https://t.co/79Z6TRXO6W</t>
  </si>
  <si>
    <t>#moleg #mogov #greitens #KimShady #IStandWithGreitens https://t.co/602fjbk9kQ</t>
  </si>
  <si>
    <t>#moleg #mogov #greitens #KimShady #IStandWithGreitens https://t.co/kXjR2y7rlS</t>
  </si>
  <si>
    <t>#moleg #mogov #greitens #KimShady #IStandWithGreitens https://t.co/HGseJiuddC</t>
  </si>
  <si>
    <t>#moleg #mogov #greitens #KimShady #IStandWithGreitens https://t.co/3NNNGaUvXX</t>
  </si>
  <si>
    <t>RT @parkerwbriden: Great to see a lot of awesome Missourians and @EricGreitens celebrating the freedom of the road and having some fun this…</t>
  </si>
  <si>
    <t>RT @mattfredstl: .@tonymess' comments on the @McGrawMilhaven show re: @scottfaughn and the @MissouriTimes. https://t.co/DpbXNkagmL #Greiten…</t>
  </si>
  <si>
    <t>#MoLeg #MoGov #MOSen #Greitens https://t.co/FAGdsVlONj</t>
  </si>
  <si>
    <t>#CoverUp of the #ProsecutorialMalfeasance @stlcao @kimgardner77th 
#MissouriWitchHunt against Governor @EricGreitens 
@AGJoshHawley #Resign
#Moleg #MoGov #MOSen #Greitens https://t.co/fFGt0nlz3k</t>
  </si>
  <si>
    <t>DeepState MO Witch-Hunt against conservative Governor @EricGreitens 
#Moleg #MoGov #MOSen #Greitens https://t.co/0Y4yaZ0HW1</t>
  </si>
  <si>
    <t>RT @magathemaga1: Same Scott who recently had outstanding tax bill that was just recently paid off that was available on Casenet? Am I mist…</t>
  </si>
  <si>
    <t>@AGJoshHawley #Resign as AG + as candidate for #USSenate
MUST #Resign due to breach of trust/Due Process
@Rep_TRichardson 
@jaybarnes5 
@Mikelkehoe 
@RonFRichard
@elijahhaahr
SUSPICIOUS: Hasty impeachment claims bc you don't want Kitty Sneed 2reveal whom of you she slept with🤔🚨 https://t.co/ibHwQ34sXn</t>
  </si>
  <si>
    <t>RT @Sticknstones4: @ksdknews Please make sure the closed door committee of witch hunters ask
How was 50k amassed❓How was it deposited to ba…</t>
  </si>
  <si>
    <t>RT @Thomas1774Paine: POLL: Since Trump, Support For Democrats Has TANKED In Key Demographic https://t.co/VEY0FwnnU1</t>
  </si>
  <si>
    <t>Looks like there is at least some decency in selective media
"...so offensive and vulgar that C-SPAN actually cut off its radio broadcast, as was the case this year for the first time ever."
Wow, porn-performance of #MichelleWolf..  the rest of the #MediaMob stands w the slut🤮 https://t.co/QN7cfW56jq</t>
  </si>
  <si>
    <t>RT @RubinReport: Hey @TwitterSupport, this person has created literally hundreds of accounts, sometimes dozens in a day soley to troll me.…</t>
  </si>
  <si>
    <t>RT @Trumperland: @ClintonMSix141 @SandraTXAS @ChristieC733 @RealWolvesUSA1 @thebradfordfile @JanjoinedNRA @RealEagleWings @W_C_Patriot @jen…</t>
  </si>
  <si>
    <t>RT @Hoosiers1986: #TuesdayThoughts
.@POTUS is restoring American credibility throughout the world with Peace Through Strength....
But the…</t>
  </si>
  <si>
    <t>RT @KMGGaryde: Patriots! Do Not Be Complacent!
#KAG!🇺🇸
#MAGA🇺🇸
#DoNotBeComplacent
#ChannelYouDragonEnergy🔥
#Vote2IncreaseTheGOPMajority
#R…</t>
  </si>
  <si>
    <t>RT @SebGorka: How deliciously appropriate on this International Workers’ Day. 
Celebrate the People’s Revolution with a cup of coffee.
Yo…</t>
  </si>
  <si>
    <t>RT @brunofranzR: Zur Kenntnis etwa ein Drittel Deutsche haben diese CDU CSU gewählt dazu SPD jetzt amtierende faschistische GroKo eine oppo…</t>
  </si>
  <si>
    <t>RT @RealJamesWoods: Complete Ponzi scheme relics. Tax dodge scheme and mostly now worthless junk. https://t.co/5W9zFhWaSk</t>
  </si>
  <si>
    <t>No words needed, left destroys themselves 
#KarmaIsABitch https://t.co/khzjJrV796</t>
  </si>
  <si>
    <t>RT @Jamierodr10: Dirty and Corrupt Obama Bros. Speechless After The Truth Of The Iran Deal Is Exposed..  👉🏻That Is What Usually Happens Whe…</t>
  </si>
  <si>
    <t>RT @MICHELL59952525: Purely Blackmail Twitter 
🇺🇸#WeThePeople Are Offended By Your Double Standards
We Will Protect Our #Rights At All 
Cos…</t>
  </si>
  <si>
    <t>@POTUS @realDonaldTrump is THE storm 💯👌
We The People are part of THIS storm 💯👌
#MAGA #KAG2020 
#RedWaveRising2018 https://t.co/Yw1O9BWrVZ</t>
  </si>
  <si>
    <t>RT @GovMikeHuckabee: Good story about @PressSec reaction to the ambush attack from the "Saturday night massacre" of decency at the disaster…</t>
  </si>
  <si>
    <t>RT @DiamondandSilk: Hey Y'all, just got word that Congressman Hank Johnson has an email going around where he's trying to make money off th…</t>
  </si>
  <si>
    <t>RT @BackTheCops: Leo Partner!! https://t.co/aOuw8BVKh5</t>
  </si>
  <si>
    <t>RT @DonaldJTrumpJr: In the unlikely case that you had any doubts left... they just put it all out there. https://t.co/fxMgjq2pvX</t>
  </si>
  <si>
    <t>RT @Education4Libs: Dear Obama,
We would like to Make the Nobel Peace Prize Great Again.
Please return yours so we can give it to someone…</t>
  </si>
  <si>
    <t>RT @realDonaldTrump: Today I had the great honor of awarding the Commander-in-Chief’s Trophy, for the first time in 21 years, to the @ArmyW…</t>
  </si>
  <si>
    <t>@realDonaldTrump 🚨#MediaMob hyper-hallucinating @CNN @ABC @NBCNews @CBSNews @MSNBC @NPR @YahooNews @NYT @washingtonpost plus racketerring reporters #LosersPac  paparazzi NO faculties! 91% of the country knows you are lying! Boycott all of them out of business, the only language they understand</t>
  </si>
  <si>
    <t>RT @The_Trump_Train: @realDonaldTrump They don’t understand Americans can see the how great our country is doing... so out of touch with re…</t>
  </si>
  <si>
    <t>RT @The_Trump_Train: @realDonaldTrump This administration is winning and there’s nothing the media can do about it but lie... sad!</t>
  </si>
  <si>
    <t>If repugnant 'Stormy' sues the President, Admiral Dr. Jackson has the same right to sue Senator @SenatorTester and @CNN, as well as @EPAScottPruitt should sue @ABC for defamation https://t.co/CcTIQyo0Nd</t>
  </si>
  <si>
    <t>RT @foxandfriends: “I’ve never seen a better man taken down by a more disgusting group of people in my life” -@dbongino defends Admiral Ron…</t>
  </si>
  <si>
    <t>RT @foxandfriends: .@CharlesHurt: Sen. Tester went to the media and dumped a garbage can of dirt on Admiral Jackson without doing any inves…</t>
  </si>
  <si>
    <t>RT @freedom_moates: Something to remember for the upcoming 2018 2020 election cycle is that the Democrats and the mainstream media have con…</t>
  </si>
  <si>
    <t>RT @GOPChairwoman: “Montana Senator Jon Tester in particular ought to be ashamed of publicly airing unproven allegations against a Navy Adm…</t>
  </si>
  <si>
    <t>RT @foxandfriends: “POLITICAL HIT JOB” -@dbongino calls on Sen. Jon Tester to resign after ‘disgraceful’ allegations against Admiral Ronny…</t>
  </si>
  <si>
    <t>RT @jdolan2020: Hey Montana Vets!  We had a real chance to fix👉🏻 broken VA with Admiral Jackson until your Anti Trump, Anti Veteran, Smear…</t>
  </si>
  <si>
    <t>RT @realDonaldTrump: I recently had a terrific meeting with a bipartisan group of freshman lawmakers who feel very strongly in favor of Con…</t>
  </si>
  <si>
    <t>RT @realDonaldTrump: The migrant ‘caravan’ that is openly defying our border shows how weak &amp;amp; ineffective U.S. immigration laws are. Yet De…</t>
  </si>
  <si>
    <t>RT @realDonaldTrump: During Small Business Week, we celebrate the great, hard-working entrepreneurs across our country who have started and…</t>
  </si>
  <si>
    <t>RT @realDonaldTrump: The Fake News is going crazy making up false stories and using only unnamed sources (who don’t exist). They are totall…</t>
  </si>
  <si>
    <t>RT @realDonaldTrump: The White House is running very smoothly despite phony Witch Hunts etc. There is great Energy and unending Stamina, bo…</t>
  </si>
  <si>
    <t>RT @seanhannity: the mystery deepens https://t.co/6suQnlIw2z</t>
  </si>
  <si>
    <t>RT @RealJamesWoods: #ObamaLegacy... https://t.co/XTrzzQN70Q</t>
  </si>
  <si>
    <t>RT @Panama6715: @johnrobertsFox @realDonaldTrump https://t.co/51yAl7IUHx Silencio John, it’s coming from you the “press”, @jimsciutto is th…</t>
  </si>
  <si>
    <t>RT @Calandra_Paige: @charliekirk11 @sigi_hill https://t.co/DzB3t6jvZZ</t>
  </si>
  <si>
    <t>RT @ShShShShShSh555: @Education4Libs @sigi_hill He's a germaphobe. He's ocd about certain things. As one with some ocd issues, there's no w…</t>
  </si>
  <si>
    <t>RT @kwilli1046: Homeless Servicemen Should Come Before Any Refugee. Retweet if you agree! https://t.co/Dw9CuffNUj</t>
  </si>
  <si>
    <t>RT @skramerbyu_82: 💥I don’t always trust polls but I do this one!💥Younger voters finally waking up to the fact DemocRats have been running…</t>
  </si>
  <si>
    <t>Another reason to #BoycottNYT out of business - proof they are true communists https://t.co/47BprBdelr</t>
  </si>
  <si>
    <t>RT @1776Stonewall: Funny thing is I've always said that all these Crips, Bloods, Latin Kings and other "gangsters" are all Democrats. They…</t>
  </si>
  <si>
    <t>The same insane nefarious left that now uses 'toxic masculinity' to destroy men🤮
#LiberalismIsAMentalDisease https://t.co/GyNMYfaRmu</t>
  </si>
  <si>
    <t>RT @polishprincessh: It takes a special kind of evil to joke about killing babies. Whether you are for abortions or not, it is no joking ma…</t>
  </si>
  <si>
    <t>RT @realDonaldTrump: Delegation heading to China to begin talks on the Massive Trade Deficit that has been created with our Country. Very m…</t>
  </si>
  <si>
    <t>RT @bbusa617: Man is fleeing his $hithole country 
Man is climbing wall with $hithole flag in his hand.
Any questions?... https://t.co/g1…</t>
  </si>
  <si>
    <t>RT @President1Trump: Besides looking like an ALIEN 👽 @kathygriffin actually thinks the President Of the United States @realDonaldTrump, had…</t>
  </si>
  <si>
    <t>RT @1Romans58: Don't bother deleting your old tweets, we saved them for you... 
Obama Bros. Speechless After Netanyahu Exposes Iran Deal L…</t>
  </si>
  <si>
    <t>RT @JackPosobiec: So, Rod Rosenstein recommended Trump fire Comey and then Rod Rosenstein appointed Mueller to investigate Trump for firing…</t>
  </si>
  <si>
    <t>RT @1776Stonewall: Some amazing footage of the courageous men who built the Empire State Building https://t.co/pc2Hufcbkf</t>
  </si>
  <si>
    <t>RT @1776Stonewall: We all know what happened on 9/11 with planes flying into the Twin Towers, but did you know that a plane once flew into…</t>
  </si>
  <si>
    <t>RT @kanyewest: we’re opening up the conversation to the psychologists sociologists and philosophers of the world and we're moving away from…</t>
  </si>
  <si>
    <t>RT @motmemes: @hickorymtnman @wvufanagent99 @TexasLo4Ever @TempusSpiritus @PaulLee85 @ForrestCSmith @Real_Gaz @Real_PeachyKeen @Imabitc3566…</t>
  </si>
  <si>
    <t>RT @hickorymtnman: The blowhards from the bo administration are always bragging about their accomplishments, and perhaps none was more gall…</t>
  </si>
  <si>
    <t>RT @DutyOfAPatriot: I Thank God Everyday We Elected President Trump. There Is Revolution Going On No Doubt About It! What Was One Declared…</t>
  </si>
  <si>
    <t>RT @drawandstrike: Just in case anybody needed more proof just how useless the United Nations is. https://t.co/hLmlrucn0J</t>
  </si>
  <si>
    <t>RT @realDonaldTrump: So disgraceful that the questions concerning the Russian Witch Hunt were “leaked” to the media. No questions on Collus…</t>
  </si>
  <si>
    <t>RT @OliverMcGee: When will the inspector general investigate the Special Counsel to figure out who leaked the list of questions they wanted…</t>
  </si>
  <si>
    <t>RT @1Romans58: Millennial minds are waking up, this awakening will only increase as the criminals fall like dominos.  Good news. 
Millenni…</t>
  </si>
  <si>
    <t>RT @BackTheCops: Being on the department has its challenges, and it isn’t always the safest job. We take time to remember the officers and…</t>
  </si>
  <si>
    <t>RT @Education4Libs: The Nobel Peace Prize lost its prestige when they gave it to Obama for being half-black &amp;amp; setting race relations in Ame…</t>
  </si>
  <si>
    <t>RT @DineshDSouza: The problem with affirmative action in comedy is no one told @michelleisawolf she’s not funny until she embarrassed herse…</t>
  </si>
  <si>
    <t>RT @BackThePolice: God bless our ladies in blue. https://t.co/PwZkgojYJu</t>
  </si>
  <si>
    <t>RT @DiamondandSilk: Why does Mueller want to ask the President questions?  If there's no evidence why is there still an investigation?  It'…</t>
  </si>
  <si>
    <t>RT @Jali_Cat: Three @browardsheriff Parkland officers found dead; two at home ‘in their sleep’, one a heartache outside the jail/police sta…</t>
  </si>
  <si>
    <t>RT @1Romans58: Yup, this is that tolerance the left is famous for.  When you have street gangs defending your party...
Snoop Dogg's Cousin…</t>
  </si>
  <si>
    <t>RT @CollinRugg: The caravan of migrants are not a bunch of “poor and oppressed women and children.” They literally sat on top of the border…</t>
  </si>
  <si>
    <t>RT @ScottPresler: Yesterday, while walking with my Trump sign, I had 2 strangers walking towards me from the opposite direction.
I enthusi…</t>
  </si>
  <si>
    <t>RT @Stump_for_Trump: .@RepHagan truly recognizes President Trump is solving the North Korea problem, not kicking the can down the road like…</t>
  </si>
  <si>
    <t>RT @1776Stonewall: Daz Dillinger, a rapper and cousin of Snoop Dogg, calls for the Crips to kill Kanye West.  Dillinger defended his commen…</t>
  </si>
  <si>
    <t>RT @charliekirk11: Try being informed instead of just opinionated</t>
  </si>
  <si>
    <t>RT @PhilMcCrackin44: 💥A San Antonio man shows his disgust with FAKE NEWS @ABC on the giant billboard below.
Well played !…</t>
  </si>
  <si>
    <t>RT @Education4Libs: Stormy Daniels is back to making porn videos.
Hate President Trump all you want, but you can’t deny he is good at putt…</t>
  </si>
  <si>
    <t>RT @RealTravisCook: Put the tanks, artillery, and military at the border.  And the first one that comes over the fence...let the military d…</t>
  </si>
  <si>
    <t>RT @DiamondandSilk: I think it's time for the American people to ask Mueller some questions:
1. Why are you still spending tax payers dolla…</t>
  </si>
  <si>
    <t>RT @GovMikeHuckabee: In MN for speech and had Somalian immigrant as driver-he came in 1991 and he LOVES America. His son is in Marines and…</t>
  </si>
  <si>
    <t>RT @realDonaldTrump: It would seem very hard to obstruct justice for a crime that never happened! Witch Hunt!</t>
  </si>
  <si>
    <t>https://t.co/FOEei0gY3G</t>
  </si>
  <si>
    <t>Savage despicable pervert #MichelleWolf 
The left destroys themselves = #WolfCareerEnd 
Wolf'll cry like vile Griffin to blame Trump &amp;amp; supporters 4 ruining her #TheLeftDestroyThemselves #BoycottMichelleWolf #KarmaIsABitch
https://t.co/slv9PzjbfY</t>
  </si>
  <si>
    <t>RT @thehill: JUST IN: Conservative lawmakers drafting articles of impeachment against Rosenstein https://t.co/Z7B5FR1OlG https://t.co/wo4lM…</t>
  </si>
  <si>
    <t>@KyraPhillips @ABC @ABCInvestigates You are #FakeNew, see my responses</t>
  </si>
  <si>
    <t>@KyraPhillips @ABCWorldNews @GMA Kyra, Here are real successes of the EPA with a skilled leader like @ScottPruittOK for the true benefit of the environment and the country 
#ABCLies https://t.co/Yux1o46UjI</t>
  </si>
  <si>
    <t>@KyraPhillips @ABCWorldNews @GMA Kyra, let me give you a source on real research on Obama era real EPA abuse - makes your neck hair stand on end
https://t.co/x4DWCKPvrG</t>
  </si>
  <si>
    <t>@KyraPhillips @ABCWorldNews @GMA Obama era EPA Gina McCarthy abuse of funds
Gina McCarthy flew first class to the Olympic in Rio, on taxpayers money! That's not abuse, is it Kyra, bc it's Obama era! https://t.co/SsgquKPswz</t>
  </si>
  <si>
    <t>@KyraPhillips @ABCWorldNews @GMA Obama era EPA Gina McCarthy abuse of funds https://t.co/it86eBPAsY</t>
  </si>
  <si>
    <t>@KyraPhillips @ABCWorldNews @GMA Obama era EPA Gina McCarthy abuse of funds https://t.co/ubGHKqsQG7</t>
  </si>
  <si>
    <t>@KyraPhillips @ABCWorldNews @GMA Hey Kyra, erasing the Obama era EPA crimes? In typical DemocRAT-fashion McCarthy used text messages to hide correspondence and then deleted them to hide her corruption. Are you hiding these facts to attack Scott Pruitt? https://t.co/aAhvKkbIdn</t>
  </si>
  <si>
    <t>@KyraPhillips @ABCWorldNews @GMA The EPA Obama's money laundering machine
https://t.co/vv7ecilqqg</t>
  </si>
  <si>
    <t>@KyraPhillips @ABCWorldNews @GMA ABC's trying to assassinate Scot Pruitt's character with #FakeNews If you'd conduct real research you'd report the Obama era use of the EPA as money laundering machine.
#ABCAgenda of lies  https://t.co/0RdLSxs83A</t>
  </si>
  <si>
    <t>#MichelleWolfPervert https://t.co/wxpzWebQk1</t>
  </si>
  <si>
    <t>RT @johncardillo: Life came at @JohnBrennan really really fast on this one. https://t.co/wpIsGbjrdO</t>
  </si>
  <si>
    <t>@brunofranzR Erst hat sie Macron prepariert, als der dann das EUKommieZiel nicht erreicht hat, hat schamlose Tyrannin Merkel sich selbst zum WH aufgemacht. Bloß, unser brillianter Präsident fällt nicht auf Kommies rein.
#MerkelMussWeg +KartellParteien #AfDImBundestag einzige Hoffnung für 🇩🇪</t>
  </si>
  <si>
    <t>RT @1776Stonewall: Rosenstein is one of the leaders of this whole scandal. he needs to go, and he needs to be exposed, and then he needs to…</t>
  </si>
  <si>
    <t>RT @RubinReport: Opinion: No. https://t.co/dLqZpVGpsH</t>
  </si>
  <si>
    <t>RT @TomFitton: .@JudicialWatch has compiled the evidence on Mrs. Clinton.  Will Justice Department act? https://t.co/wRpgPqBrXe</t>
  </si>
  <si>
    <t>RT @Education4Libs: The University of Texas will now treat masculinity as a “mental health issue”, &amp;amp; is urging male students to “take more…</t>
  </si>
  <si>
    <t>#TheLeftDestroyThemselves 
#BoycottMichelleWolf 
#KarmaIsABitch https://t.co/oydstxc5RJ</t>
  </si>
  <si>
    <t>@SaraCarterDC John Roberts' wife is Kyra Phillips, 'investigative reporter for ABC' now leading a wrecking-campaign against Scott Pruitt at the EPA. Either is part of the #MediaMob = no credibility</t>
  </si>
  <si>
    <t>RT @Jamierodr10: 🇺🇸AMAZING AND HEART WARMING STORY🇺🇸. Arlington National Cemetery Worker Carries WWII Veteran ‘George Burns’ On His Back To…</t>
  </si>
  <si>
    <t>RT @SebGorka: Why oh why so quiet today my dear??
@AmbRice44 https://t.co/1hl5vtp9SL</t>
  </si>
  <si>
    <t>RT @RealJack: The Democrats have a rough time hiding all their corruption from the public... 
Obama lied about Iran.
Loretta Lynch lied a…</t>
  </si>
  <si>
    <t>RT @charliekirk11: Stop calling them migrants. 
They are criminal foreign national border jumpers 
Don’t reward lawlessness. They are ill…</t>
  </si>
  <si>
    <t>RT @RealJamesWoods: The biggest liar in the history of the American presidency and a potted plant behind him and to his right. #IranNuclear…</t>
  </si>
  <si>
    <t>RT @RealtyVirginia: @CHIZMAGA @sigi_hill Im embarrassed 4those who talk about being complicit,vulgar.... yet they show the world that they…</t>
  </si>
  <si>
    <t>@WallyJ80 @PoliticallyRYT @realDonaldTrump #MichelleWolfIsAPervert just like #KathyGriffin https://t.co/afCWVFKBWU</t>
  </si>
  <si>
    <t>@PoliticallyRYT @realDonaldTrump Savage despicable pervert #MichelleWolf = Savage despicable pervert #KathyGriffin 
The left destroys themselves = #WolfCareerEnd 
Wolf'll cry like a baby/Griffin to blame Trump &amp;amp; supporters 4 ruining her 
#TheLeftDestroyThemselves #BoycottMichelleWolf 
#KarmaIsABitch</t>
  </si>
  <si>
    <t>@FoxNews @PressSec @PressSec my greatest respect for you and the values that you stand for, truly a role-model.  The left brow-beaten #DNCClass is on a self-destruction course &amp;amp; so sucked in that they can't even grasp how foolish the are.</t>
  </si>
  <si>
    <t>Savage despicable pervert #MichelleWolf = Savage despicable pervert #KathyGriffin
The left destroys themselves = #WolfCareerEnd  
Wolf'll cry like a baby/Griffin to blame Trump &amp;amp; supporters 4 ruining her  
#TheLeftDestroyThemselves #BoycottMichelleWolf #KarmaIsABitch https://t.co/qTtb8QPo6g</t>
  </si>
  <si>
    <t>RT @DLoesch: "'I can't believe Trump is pro-life. I'm pretty positive Eric is an abortion.' Michelle Wolf deleted thousands of offensive tw…</t>
  </si>
  <si>
    <t>RT @KrisParonto: Oh no she didn’t 🤦🏻‍♂️😂👹 There’s a saying about those that live in glass houses....probably want learn it @michelleisawolf…</t>
  </si>
  <si>
    <t>RT @tbailey5477: 🔺️MEDIA SILENT🔺️
as ALLISON MACK ’S Arrest ▶️EXPOSES CHILD TRAFFICKING
For Billionaire-Backed Sex Slave Ring NXIVM
💥NXIVM…</t>
  </si>
  <si>
    <t>MO RIGHT 4 ANSWERS #WatkinSubpoena
#Resign:
@AGJoshHawley 
@Rep_TRichardson 
@jaybarnes5 
@Mikelkehoe 
@robschaaf
@RonFRichard
@DLHoskins
@elijahhaahr
@jeanielauer
@KevinLAustin1
@shawnrhoads154
@gcmitts
@TommiePierson
@staceynewman
@RepAnnWagner
#moleg #MoGov #MOSen #Greitens https://t.co/fNOPFhYiNH</t>
  </si>
  <si>
    <t>RT @KimStrassel: This is what you call a takedown. 
 https://t.co/J4KZQKPUvb</t>
  </si>
  <si>
    <t>RT @KMGGaryde: Michelle Wolf single handedly destroyed the House Correspondents' Dinner! It is NOW officially Dead. When the Correspondents…</t>
  </si>
  <si>
    <t>RT @PhilMcCrackin44: 🐉 No Hillary...It’s called DRAGON ENERGY, not DRAGGING ENERGY !!!
#MondayMotivaton 
#DragonEnergy 
#TheDashRiprock ht…</t>
  </si>
  <si>
    <t>RT @DiamondandSilk: Watch the message from @DiamondandSilk about Free Speech for all people.  Very Powerful. https://t.co/mH6ycBZKRH</t>
  </si>
  <si>
    <t>RT @lawyerberlin: Ich bin für die Trennung von Staat und Kirche. Aber....Die Islamgläubigen nicht. Der Koran steht für sie über dem Staat.…</t>
  </si>
  <si>
    <t>#MichelleWolf https://t.co/p5IINdfwPZ</t>
  </si>
  <si>
    <t>RT @LauraLoomer: Democrats went psycho when anyone made comments about Hillary Clinton’s appearance during the 2016 campaign.
But they hav…</t>
  </si>
  <si>
    <t>RT @SebGorka: They doubled down. 
Bodes well for November. https://t.co/yXHRQhiSMo</t>
  </si>
  <si>
    <t>RT @Hoosiers1986: #MondayMotivation 
RT if you'd LOVE your daughter to grow up &amp;amp; exhibit the  INTELLIGENCE &amp;amp; CLASS of Sarah Huckabee Sande…</t>
  </si>
  <si>
    <t>RT @mitchellvii: Just read that suburban women don't like Trump's "divisiveness."
Well, God said to, "divide the wheat from the chaff." Tr…</t>
  </si>
  <si>
    <t>@yogagenie @davidhogg111 you need to join the military, defend our freedom in Afghanistan/Africa and then let's talk https://t.co/cjsP034DEm</t>
  </si>
  <si>
    <t>RT @ArtofWDSmith: @yogagenie @Jarvis28633056  https://t.co/9t3lLk2suD</t>
  </si>
  <si>
    <t>RT @Jamierodr10: Today I Want To Honor My Brothers And Sisters In Arms That Paid The Ultimate Sacrifice To Keep Us Free! THIS IS WHY I STAN…</t>
  </si>
  <si>
    <t>RT @dbongino: Even twitter is in the mix. They aren’t allowing you to see this tweet about social media discrimination. Plz retweet it. 👇🏻…</t>
  </si>
  <si>
    <t>Take the microphone away from this baby and give him back his pacifier https://t.co/KysDLrAxqV</t>
  </si>
  <si>
    <t>RT @SaraCarterDC: Great article on the hit job by NYT on @DevinNunes Read the truth here. If it wasn’t for the hard work of Nunes Committee…</t>
  </si>
  <si>
    <t>RT @DiamondandSilk: Don't forget to join @DiamondandSilk this Sunday May 6th in Greensboro NC.  Get your tickets today.......... Re-Tweet N…</t>
  </si>
  <si>
    <t>RT @GovMikeHuckabee: Column by @hughhewitt best yet of how journalism had an avoidable, near mortal self-inflicted wound Sat nite. If WHCD…</t>
  </si>
  <si>
    <t>RT @HyltonRobin: @TruthMaga @POTUS That’s my @POTUS 🇺🇸
I will be voting for him in 2020 https://t.co/56VxBNFcqz</t>
  </si>
  <si>
    <t>RT @TomFitton: .@RealDonaldTrump administration should deny entry to the mob of illegal aliens that seeks to challenge our sovereignty.  Le…</t>
  </si>
  <si>
    <t>RT @RealTravisCook: If #BallparkVillage hadn't been a #gunfreezone, &amp;amp; if the patrons there had been allowed to carry their own guns, then t…</t>
  </si>
  <si>
    <t>#ShutDownWHCD https://t.co/RrJYZR7WOd</t>
  </si>
  <si>
    <t>RT @thebradfordfile: @therealroseanne @GenFlynn #PardonFlynn: hero. https://t.co/WnaaENpJe2</t>
  </si>
  <si>
    <t>RT @realDonaldTrump: Numerous countries are being considered for the MEETING, but would Peace House/Freedom House, on the Border of North &amp;amp;…</t>
  </si>
  <si>
    <t>RT @realDonaldTrump: The White House Correspondents’ Dinner is DEAD as we know it. This was a total disaster and an embarrassment to our gr…</t>
  </si>
  <si>
    <t>#BoycottCNN out of business
#CNNIsTerrorism worldwide
#CNNSlandersAmeric worlwide
#CNNSlandersPresidentTrump worldwide https://t.co/jLdlMPDh0o</t>
  </si>
  <si>
    <t>RT @charliekirk11: Free thinkers only https://t.co/Y0IvZeQDnm</t>
  </si>
  <si>
    <t>RT @DonaldJTrumpJr: Woah, looks like my pals @realcandaceO and @charlieKirk11 hanging with @kanyeWest yesterday. This should be interesting…</t>
  </si>
  <si>
    <t>RT @Thomas1774Paine: FEDS DROP BOMBSHELL: Comey &amp;amp; Lynch Colluded with Clinton Campaign to Entrap, Wiretap Trump; Illegal Scheme Involved En…</t>
  </si>
  <si>
    <t>RT @Thomas1774Paine: CNN &amp;amp; MSNBC Hiring of Suspected Leakers Clapper &amp;amp; Brennan Raises National Security Threats https://t.co/HoJSD20Y3P</t>
  </si>
  <si>
    <t>RT @Thomas1774Paine: ZUCK YOU: Facebook blocks conservative news outlet’s story on FBI texts — blames ‘spam’ algorithm https://t.co/ylcksSy…</t>
  </si>
  <si>
    <t>RT @BrettRSmith76: JAWBREAKERS hits $100k &amp;amp; still no coverage by industry news. Haven't seen this much silence over the massive success of…</t>
  </si>
  <si>
    <t>RT @Cernovich: Court documents in my lawsuit against Jeffrey Epstein, which the Miami Herald joined in their own separate motion, are here:…</t>
  </si>
  <si>
    <t>Any questions about CNN = ClintonNewsNetwork?
#AcostaIsTrash
#CNNIsTerrorism worldwide
#CNNSlandersAmerica worldwide
#BanWHCD https://t.co/MQCVi04AVr</t>
  </si>
  <si>
    <t>RT @AsheSchow: If only you guys cared about a president actually attacking the press when Obama was president (subpoenaing phone records, t…</t>
  </si>
  <si>
    <t>RT @gabriellahope_: Abortion is not something to joke about or cheer for. I was disgusted by tonight’s comedic routine at the White House C…</t>
  </si>
  <si>
    <t>RT @MarkDice: If white people can't wear dreadlocks because it's 'cultural appropriation' then black women have to stop straightening their…</t>
  </si>
  <si>
    <t>RT @steph93065: Right before leaving Honduras, running for their very lives from violence and mayhem, these "asylum seakers" had these nift…</t>
  </si>
  <si>
    <t>RT @GovMikeHuckabee: Up at 3am for early flight and learned that little Alfie Evans had died. Maybe he would have even if UK govt had allow…</t>
  </si>
  <si>
    <t>RT @1Romans58: This report goes all the way back to the 1980s, interesting past Bob has.
Louie Gohmert Rips into Bob Mueller in 48-Page Re…</t>
  </si>
  <si>
    <t>RT @TraderOfFutures: COLLUSION DELUSION: New Documents Show OBAMA Officials, FBI COORDINATED in Anti-Trump Probe | Sara A. Carter https://t…</t>
  </si>
  <si>
    <t>RT @mercedesschlapp: It’s why America hates the out of touch leftist media elite https://t.co/IaLcH5n6RF</t>
  </si>
  <si>
    <t>RT @kimguilfoyle: Disgraceful, despicable behavior last night by @michelleisawolf at the #WHCADinner @PressSec is wonderful person, hardwor…</t>
  </si>
  <si>
    <t>RT @paxilbob: It was pathetic!! Sarah Sanders has so much class!! She is an awesome lady! https://t.co/hAYI4Og1Xh</t>
  </si>
  <si>
    <t>RT @PradRachael: Classless LOON Attacks Sarah Sanders, 
Blindsided when PAPA
HUCK Evens the Score 
Sarah is Clothed in Strength and Dignity…</t>
  </si>
  <si>
    <t>RT @pewdrdad: Mike Huckabee: I hope my grandchildren never see comedian's jokes about Sarah Sanders https://t.co/OsyKHBw94w</t>
  </si>
  <si>
    <t>RT @RealJack: “Love Trumps hate!”
-Said the people who insult Sarah Sanders’ appearance, mock Melania’s accent, call Barron a retard, atta…</t>
  </si>
  <si>
    <t>RT @bigleaguepol: Hillary’s deleted emails will be released to the public https://t.co/AMMZWmS68F</t>
  </si>
  <si>
    <t>RT @1Romans58: This request was filed in JULY 2017, stop the stalling!  We know the FBI never examined the server and hired an outside firm…</t>
  </si>
  <si>
    <t>RT @bgood12345: 🚨👉FBI Delays Release of Communications With Firm That Examined 🐀DNC Servers‼️WTH⁉️Why are they keep delaying it..🤔⁉️#DOJ #F…</t>
  </si>
  <si>
    <t>RT @MZHemingway: Literally dozens errors of fact and material omissions. Unbelievable. https://t.co/V7ZwMN6X9Y</t>
  </si>
  <si>
    <t>RT @RealMattCouch: Who was in town the night that Shawn Lucas was found dead... 
Answers to the puzzle are coming clearer by the day. Evid…</t>
  </si>
  <si>
    <t>RT @CUTMAN696: We need to see all correspondence between Mueller, Comey, and McCabe for starters. I believe Mueller is the WOLF IN SHEEPS C…</t>
  </si>
  <si>
    <t>RT @DineshDSouza: Kanye gives a big middle finger to the left for trying to shut him up @charliekirk11 @RealCandaceO https://t.co/nDVXuYoRYd</t>
  </si>
  <si>
    <t>RT @ScottPresler: Whenever Trump tweets, it makes instant news. 
Thanks for giving President Trump tremendous power, Twitter! Covfefe. 
#…</t>
  </si>
  <si>
    <t>RT @TyEducatingLibs: Want to Trigger a liberal co-worker, friend or in-law? Our “Make Liberals Cry Again; Trump 2020” wristbands should get…</t>
  </si>
  <si>
    <t>RT @RealJamesWoods: It was a secret more baffling than the riddle of the Sphinx evidently. https://t.co/HLD8ThisDx</t>
  </si>
  <si>
    <t>RT @PoliticalShort: @DevinNunes Schiff has some explaining to do... https://t.co/BSlNtTJgfY</t>
  </si>
  <si>
    <t>RT @DevinNunes: Mmmmmm....I seem to remember quotes from the March 20, 2017 hearing that were taken directly from the “dirty dossier”...may…</t>
  </si>
  <si>
    <t>RT @FranCifelli: #Defund PP~Stop the murder of our innocents~End abortionists torture of our babies~FOREVER~No more selling baby body parts…</t>
  </si>
  <si>
    <t>RT @realDonaldTrump: Headline: “Kim Prepared to Cede Nuclear Weapons if U.S. Pledges Not to Invade” - from the Failing New York Times. Also…</t>
  </si>
  <si>
    <t>RT @realDonaldTrump: The White House Correspondents’ Dinner was a failure last year, but this year was an embarrassment to everyone associa…</t>
  </si>
  <si>
    <t>RT @realDonaldTrump: “Trump’s Triumphs are driving his critics Crazy!” Thank you Steve Hilton @NextRevFNC, just want to do what is right fo…</t>
  </si>
  <si>
    <t>As dumb as she is tall - Secret-a-r-y - nothing changed
#NoMercyWithJoyReid https://t.co/CQQn0ebZ2M</t>
  </si>
  <si>
    <t>RT @greeneyes17730: @hrtablaze @JoyAnnReid https://t.co/FyiyUYPaQG</t>
  </si>
  <si>
    <t>RT @RealJamesWoods: Please. No. Keep it up. #GOP2018 https://t.co/LZ3vOFUSW1</t>
  </si>
  <si>
    <t>RT @SebGorka: New Sherrif. 
Doesn’t need dinner. 
Back to work. https://t.co/vBzEtCXyUI</t>
  </si>
  <si>
    <t>RT @Jali_Cat: Bill Gates said a disease is coming that could kill 30 million people within 6 months — and that we should prepare for it as…</t>
  </si>
  <si>
    <t>RT @the_real_LAFord: @ameripundit Social Marxism is behind the censorship found on all of these platforms. That is the greatest obstacle to…</t>
  </si>
  <si>
    <t>RT @SebGorka: NOT ENOUGH. https://t.co/a4OaVQa7lT</t>
  </si>
  <si>
    <t>RT @brunofranzR: Millionen Deutsche inclusive Fremdanteilen haben einen Merkel Stasi Virus in der Birne zu gehorchen und das Maul zu halten…</t>
  </si>
  <si>
    <t>RT @Thomas1774Paine: FBI NIGHTMARE: Supreme Court orders release of audio, video from Las Vegas shooting massacre https://t.co/BfZptuw5nL</t>
  </si>
  <si>
    <t>RT @Jillibean557: @thebradfordfile #LowIQMaxine 🤪 https://t.co/RCVnzkYbzy</t>
  </si>
  <si>
    <t>RT @CHIZMAGA: Meet Michelle Wolf’s Parents 🤮 https://t.co/pUt1TLuZpe</t>
  </si>
  <si>
    <t>RT @FoxNews: .@NancyPelosi: "I don't think we should be talking about impeachment." https://t.co/4thoCS9OMM</t>
  </si>
  <si>
    <t>RT @SebGorka: Concur. https://t.co/A0Us6nS3M4</t>
  </si>
  <si>
    <t>RT @brithume: Easy reform: cancel it. https://t.co/kLevZ0BFML</t>
  </si>
  <si>
    <t>RT @MICHELL59952525: 🇺🇸#WeThePeople Want Regime Changes  In All Latin Or Caribbean Nations Supporting #DeepState Agenda Of Dividing/Destroy…</t>
  </si>
  <si>
    <t>RT @MarkDice: Ordinarily, I would have posted clips of some of the jokes from the White  House Corespondents Dinner, but I watched the whol…</t>
  </si>
  <si>
    <t>RT @CHIZMAGA: 70% of Democrat Supporters want Trump Impeached if they win the House back...👇🏻
Does this give you enough incentive to get o…</t>
  </si>
  <si>
    <t>RT @RealJack: Update: Slimy James Comey continues to lie!
Comey claims he never realized there could be connection between Weiner &amp;amp; Hillar…</t>
  </si>
  <si>
    <t>RT @1776Stonewall: the funny thing is that we jokingly call it the 9th "circus" court - now we know why</t>
  </si>
  <si>
    <t>RT @1776Stonewall: We all know how insane the 9th circuit court is, right? But did you know that a few days ago the 9th circuit court ruled…</t>
  </si>
  <si>
    <t>RT @RealJamesWoods: I was recently offered another #FamilyGuy episode and reluctantly turned it down for similar reasons. It was so mean-sp…</t>
  </si>
  <si>
    <t>RT @NutznVise: @fliptheleft @NealWCopeland1 @1776Stonewall @sigi_hill They can't make their countries better. They're the ones that made th…</t>
  </si>
  <si>
    <t>@NoCollusion @DonaldJTrumpJr @DevinNunes 💯Agree #RedWaveRising 2018 #NoRinos #NoDemocRATs #TermLimits #PaulRyanLeaveNow</t>
  </si>
  <si>
    <t>RT @NoCollusion: @sigi_hill @DonaldJTrumpJr Thank you for posting it again! I just keep looking though I know we are all being #ShadowBanne…</t>
  </si>
  <si>
    <t>RT @madmrgone: @sigi_hill #Michelleisadirtygirl.....</t>
  </si>
  <si>
    <t>RT @herman_martha: @sigi_hill Open season to trash talk Michelle Wolf. #karmasabitch! Sarah Sanders had more class and intelligence in the…</t>
  </si>
  <si>
    <t>RT @AdorablyD: Well said, short and concise👏🏻 #TheLeftDestroyThemselves #BoycottMichelleWolf https://t.co/O8vTLytHDP</t>
  </si>
  <si>
    <t>When the Trumpwrath hits them 👎...
Blame yourself https://t.co/JiWCf3yYHI</t>
  </si>
  <si>
    <t>RT @144000_H_E: @johnfmerritt @PoliticallyRYT @sigi_hill @realDonaldTrump She’s reading her insults...she’s not a comedian...she’s NObody 💩…</t>
  </si>
  <si>
    <t>RT @DonaldJTrumpJr: Hearing all the “jokes” about @realDonaldTrump as a business man from last night’s #WHCorrespondentsDinner. 
Only prob…</t>
  </si>
  <si>
    <t>RT @JTMYVA: @HillaryClinton @RegionalPlan Who am I kidding? The only unity you encourage is between foreign donations from terrorist nation…</t>
  </si>
  <si>
    <t>RT @JTMYVA: @HillaryClinton @RegionalPlan I’d love an infrastructure conference and infrastructure plan! Just I know if you’ll involved the…</t>
  </si>
  <si>
    <t>RT @sigi_hill: @HillaryClinton @RegionalPlan Hey Killary - you are irrelevant YOU LOST, EVEN THE POPULAR VOTE, AND NEVER WILL BE PRESIDENT…</t>
  </si>
  <si>
    <t>@HillaryClinton @RegionalPlan Hey Killary - you are irrelevant YOU LOST, EVEN THE POPULAR VOTE, AND NEVER WILL BE PRESIDENT 
AND YES, YOU HAVE A CRIMINAL REFERRAL ON YOUR HEAD AND WILL BE PROSECUTED - YOUR FUTURE INFRA STRUCTURE IS GITMO 
THANK GOD FOR ⭐️PRESIDENT TRUMP⭐️AMERICA HAS A FUTURE AGAIN https://t.co/BeIuXTBIyn</t>
  </si>
  <si>
    <t>RT @PradRachael: SARAH IF YOU COULD ONLY SEE MY FACE RIGHT NOW YOU'D SEE
A LOOK OF GRATITUDE YOU SARAH MADE A DIFFERENCE BECAUSE YOU ARE SO…</t>
  </si>
  <si>
    <t>RT @RealJamesWoods: “Even if we are lying, biased, conniving #Democrat hacks. We are a pampered class with extraordinary rights, but no com…</t>
  </si>
  <si>
    <t>RT @TheRISEofROD: Chance "The Crapper" sided with Kanye West yesterday, stating that Blacks don't have to be Democrats. He never had the ba…</t>
  </si>
  <si>
    <t>RT @alozras411: NOT A ROAST JUST HATE from HATEFUL LIBERALS !
Michael Loftus on the White House Correspondents’ Dinner: “It was horrible,…</t>
  </si>
  <si>
    <t>RT @poconomtn: Who is a bigger threat to our country ?</t>
  </si>
  <si>
    <t>RT @WBEplantlady: It looks like Tester is a chronic liar not the first time.  He needs to be voted out.  Deep State manipulator. He wanted…</t>
  </si>
  <si>
    <t>RT @sigi_hill: @EricHolder Typical coward pattern - when caught they melt and their accomplices hurry to their defense, Evil just has a new…</t>
  </si>
  <si>
    <t>@EricHolder Typical coward pattern - when caught they melt and their accomplices hurry to their defense, Evil just has a new appearance. Joy faked her current persona so does Eric Holder - NO MERCY FOR JOY OR HOLDER https://t.co/5Mn2zSNGbP</t>
  </si>
  <si>
    <t>We knew #EricHolder is a criminal #FireAndFury
Apparently he has been coning himself through the system since 1970 - matching brother in crime with his buddy Obama
Time to take this gang down #Gitmo https://t.co/fjVhFHamTF</t>
  </si>
  <si>
    <t>RT @RealJamesWoods: She apologized because she got caught. https://t.co/hVuVAf0dKi</t>
  </si>
  <si>
    <t>RT @Thomas1774Paine: A major news company has been withholding a monster story on the FBI, Mueller &amp;amp; McCabe. If it continues to spike the s…</t>
  </si>
  <si>
    <t>RT @TempusSpiritus: Why does the media insist on slandering our American values, even as we speak loud &amp;amp; clear when we vote?
#AmericaFirst…</t>
  </si>
  <si>
    <t>I'd like for #Clapper to be prosecuted for high crimes (I'm sure there is more on him) and hang next to #Comey #Killary #Uhbumba https://t.co/7Y32WLKhvY</t>
  </si>
  <si>
    <t>@1Romans58 @LindseyGrahamSC turns with the wind - untrustworthy</t>
  </si>
  <si>
    <t>#WHCD an embarrassment for America https://t.co/DC87tlrtXl</t>
  </si>
  <si>
    <t>RT @PaulLee85: It sure is a ‘George Soros express’. Who else would do something to destabilize a country with foreign nationals.The man nee…</t>
  </si>
  <si>
    <t>RT @RealJack: They said he wouldn’t win. 
He won.
They said he wouldn’t cut taxes. 
He did.
They said he’d create a nuclear war. 
He c…</t>
  </si>
  <si>
    <t>RT @Hoosiers1986: Normally I point out how STUPID Libs truly are!
But today, I don't have to...the fact that they are applauding this IDIO…</t>
  </si>
  <si>
    <t>RT @thebradfordfile: Hell hath frozen over.
Trump is a miracle worker. https://t.co/IfRYIISLtc</t>
  </si>
  <si>
    <t>RT @dcexaminer: Top Democrat: Trump deserves some credit for getting North Korea to the table https://t.co/RxVxm2dlNo https://t.co/1QbSMhmD…</t>
  </si>
  <si>
    <t>RT @MightyBusterBro: .
PRESIDENT Donald J. Trump SAYS:
"We CAN'T BE COMPLACENT!
we MUST WORK and VOTE and WIN
The House and The Senate" #WI…</t>
  </si>
  <si>
    <t>RT @WhoWolfe: DemoRat Rep. Jeffries Caught Setting Trap For Diamond and Silk https://t.co/5LvvIyjQ0B</t>
  </si>
  <si>
    <t>RT @realDonaldTrump: Just got recent Poll - much higher than President O at same time....Well, much more has been accomplished!</t>
  </si>
  <si>
    <t>RT @realDonaldTrump: While Washington, Michigan, was a big success, Washington, D.C., just didn’t work. Everyone is talking about the fact…</t>
  </si>
  <si>
    <t>RT @realDonaldTrump: Secret Service has just informed me that Senator Jon Tester’s statements on Admiral Jackson are not true. There were n…</t>
  </si>
  <si>
    <t>RT @POLITICSandFUN: An Unborn Baby Is Aborted &amp;amp; The Mother Dies From Complications.
You Won’t Hear About This From Mainstream Media BTW, So…</t>
  </si>
  <si>
    <t>RT @dbongino: I’ve asked this question repeatedly &amp;amp; I have never received an even mildly coherent answer. How is advocating collective iden…</t>
  </si>
  <si>
    <t>RT @PatriotMarie: .Wow, just watched @AmbJohnBolton on Chris Wallace what a breath of fresh air after #Globalist Elite #McMaster ‼️ He is t…</t>
  </si>
  <si>
    <t>RT @Frank_Pasemann: +++ Unbedingt anschauen! +++
Eine eindringliche Warnung von @geertwilderspvv vor der weiteren Islamisierung der Niederl…</t>
  </si>
  <si>
    <t>RT @OliverMcGee: Migrants are protesting at the border as they get ready to cross over into the US illegally. This is live on Fox News.
De…</t>
  </si>
  <si>
    <t>RT @MarkDice: Start with your security guards you false idol. https://t.co/OLbcZhP8WT</t>
  </si>
  <si>
    <t>RT @LisaMei62: Lord have mercy....what an absurd thing to tweet. Love the response. https://t.co/2B2Azz35wx</t>
  </si>
  <si>
    <t>RT @1776Stonewall: and that should tell you all you need to know about these all being Democrat voters coming over here, which of course, i…</t>
  </si>
  <si>
    <t>RT @1776Stonewall: Just the fact that the migrants at the border are chanting "Si podemos" , which means "Yes We can" in Spanish, should te…</t>
  </si>
  <si>
    <t>RT @RyanAFournier: Hundreds of migrants are trying to enter our country illegally today! We must not let them in! 
Protect our borders and…</t>
  </si>
  <si>
    <t>RT @StephenMilIer: Does anybody really think that there would not be indictments (and convictions) if the Trump campaign funneled cash to R…</t>
  </si>
  <si>
    <t>RT @RealJamesWoods: Put this clip in every campaign video for Republican women running for office in #2018. It’s a gift from heaven.  https…</t>
  </si>
  <si>
    <t>RT @polishprincessh: Sarah Sandars,
You are the winner in this disgusting show of disgrace to you &amp;amp; our country! You are a strong, beautifu…</t>
  </si>
  <si>
    <t>Man #MichaelObama https://t.co/DufkJ6sgOr</t>
  </si>
  <si>
    <t>#MichellWolfe equals #KathyGriffin 
Expose and destroy themselves faster than any of us could do
Go back into the gutter where you come from 
#WHCD https://t.co/qmet2fYwKU</t>
  </si>
  <si>
    <t>RT @FoxNews: .@mercedesschlapp: “Going after Sarah’s looks, going after her job, making these false allegations, it was just so incredibly…</t>
  </si>
  <si>
    <t>RT @PoliticalShort: "Unbelievable that a senior official (Clapper) would leak disinfo to destroy an incoming president. If it would have be…</t>
  </si>
  <si>
    <t>RT @lawyerberlin: Wer wissen will, wie die Kriege der Zukunft aussehen, sollte mal #stuxnet googeln. Und wer meint, dass #Deutschland gegen…</t>
  </si>
  <si>
    <t>RT @SaraCarterDC: LATEST https://t.co/MOyCCNCqiU</t>
  </si>
  <si>
    <t>RT @DiamondandSilk: They only "Smear" who they "Fear!" https://t.co/VxoX6EIYgw</t>
  </si>
  <si>
    <t>RT @LauraLoomer: #MichelleWolf is the reason why I hate talking to women and avoid female friendships like the plague. 
Women are catty, f…</t>
  </si>
  <si>
    <t>RT @rektredpill: Watch as democrats urge their new fellow voters to hop the fence. They don’t care about the safety of America. They care a…</t>
  </si>
  <si>
    <t>RT @thebradfordfile: Dear Daughters:
Watch the clips of the White House Correspondents' Dinner last night. There were few rebels in attend…</t>
  </si>
  <si>
    <t>RT @charliekirk11: If you attack a liberal woman you are called "sexist" 
If you attack a conservative women you are called "funny"</t>
  </si>
  <si>
    <t>RT @CHIZMAGA: If Michelle Wolf &amp;amp; the Media’s Attack on the lovely Sarah Huckabee Sanders last night wasn’t enough to get you off your ass &amp;amp;…</t>
  </si>
  <si>
    <t>RT @TyEducatingLibs: The WHCD was the latest example of why Trump won the election.
Michelle Wolf attacked Sara Huckabee Sanders under the…</t>
  </si>
  <si>
    <t>RT @ElderLansing: So thug felon rapper TI, which should stand for Truly Ignorant, sold crack, got high off Cocaine and Ecstasy, assaulted a…</t>
  </si>
  <si>
    <t>RT @dbongino: I can’t say this enough. The real problem on the Hill is that many Republicans are really Democrats. While NO Democrats are r…</t>
  </si>
  <si>
    <t>RT @USAHotLips: Where is the @NationalGuard? There are literally ppl urging illegals to jump over to US illegally‼️
Absolute anarchy‼️@rea…</t>
  </si>
  <si>
    <t>RT @WhiteHouse: Loopholes in our immigration system created by judicial rulings have made it nearly impossible to remove many criminal alie…</t>
  </si>
  <si>
    <t>RT @GovMikeHuckabee: After seeing the young female hired to verbally bully anyone who worked for @realDonaldTrump I now understand why eati…</t>
  </si>
  <si>
    <t>RT @seanhannity: The latest from @SaraCarterDC... https://t.co/gVkcoNvev1</t>
  </si>
  <si>
    <t>RT @CollinRugg: Say what you want about Michelle Wolf and her attack on Sarah Huckabee Sanders, but at the end of the day, Sarah works at t…</t>
  </si>
  <si>
    <t>RT @RealJamesWoods: They hate @PressSec Sarah Huckabee Sanders because she represents every aspect of American womanhood that we admire: in…</t>
  </si>
  <si>
    <t>RT @BackTheCops: We will always remember. https://t.co/qwfNzmYk5h</t>
  </si>
  <si>
    <t>RT @parscale: I have met @RealCandaceO and was very impressed. She will provide great help to the campaign. Looking forward to seeing her i…</t>
  </si>
  <si>
    <t>RT @Education4Libs: Kathy Griffin: No one can ruin their career faster than me.
Michelle Wolf: Hold my beer. 🍺</t>
  </si>
  <si>
    <t>RT @therealroseanne: first rule of comedy: NEVER target someone more famous than U who is in the audience. U will lose the entire crowd.</t>
  </si>
  <si>
    <t>RT @cvpayne: Bingo...great point.  The vile hatred expressed using the veneer of comedy reveals true nature of those self-appointed arbiter…</t>
  </si>
  <si>
    <t>RT @ScottPresler: Dear @PressSec,
We want you to know how loved and appreciated you are. We're thankful for the contributions your dad and…</t>
  </si>
  <si>
    <t>RT @AMike4761: DERANGED: Pope says Muslim ‘refugee’ safety comes before YOUR national security with one of the most mind-numbingly stupid s…</t>
  </si>
  <si>
    <t>RT @Pink_About_it: Hillary called us deplorables 
Media calls us stupid 
Trump calls us the best way to spend a night outside the swamp o…</t>
  </si>
  <si>
    <t>RT @realDonaldTrump: Great evening last night in Washington, Michigan. The enthusiasm, knowledge and love in that room was unreal. To the m…</t>
  </si>
  <si>
    <t>RT @PriscillasView: “We Love You Trump!”
“I Love you too”
USA! USA! USA!  🇺🇸 👊
#MichiganRally #TrumpRally 
#SundayMorning https://t.co/d…</t>
  </si>
  <si>
    <t>RT @thebradfordfile: Dear Michelle Wolf,
Congrats on demonstrating exactly why President Trump skipped the WHCD. I've seen funnier talent…</t>
  </si>
  <si>
    <t>RT @Breaking911: JUST IN: N. Korea to make public dismantlement of nuclear test site - Yonhap</t>
  </si>
  <si>
    <t>RT @Carolin17951107: https://t.co/vUQSvqaCFd
While I love #POTUS economic policies, his foreign policies have been on point and the best I'…</t>
  </si>
  <si>
    <t>RT @CarmineSabia: I often wondered what a piece of shit would look like if it came to life and told jokes at the White House Correspondents…</t>
  </si>
  <si>
    <t>RT @PoliticallyRYT: Trump officials walk out as comedian attacks #SarahSanders &amp;amp; others, delivering a vile performance in @realDonaldTrump…</t>
  </si>
  <si>
    <t>RT @pjkorman: @DineshDSouza 
And one who won't block investigation &amp;amp; prosecution of $84 Million for Contributions laundered through DNC &amp;amp; S…</t>
  </si>
  <si>
    <t>RT @FredParkell: @EdwardAshton30 @DineshDSouza That Bimbo comedian sounded like she was on something.</t>
  </si>
  <si>
    <t>RT @EdwardAshton30: @DineshDSouza "PURE ASS-HOLES EXPOSED TO THE WORLD" NOW YOU HAVE YOUR ANSWER TO WHY "HOLLYWOOD"---&amp;gt; " IS A -CESSPOOL IN…</t>
  </si>
  <si>
    <t>RT @DineshDSouza: The sheer vileness &amp;amp; nastiness of the Left, on full display last night, is precisely why we need a tough guy like Trump o…</t>
  </si>
  <si>
    <t>RT @RogerNorthup: @StefanMolyneux While we're at it, we can ban all sin so we won't need a Pope.</t>
  </si>
  <si>
    <t>RT @ToughGrandpa: @StefanMolyneux Tell you what Frankie, we'll meet you half way. Take down the Vatican walls, dismiss your guards, and ope…</t>
  </si>
  <si>
    <t>RT @Eskimonian7: @tx_kraut @StefanMolyneux @Pontifex Absolutely true! Looks like the pope wants to trick us out of inheriting the earth. Ma…</t>
  </si>
  <si>
    <t>RT @tx_kraut: @StefanMolyneux My response to @Pontifex . He needs to go back and study the real bible. https://t.co/7MQtMXGgmU</t>
  </si>
  <si>
    <t>RT @bogbeagle: @StefanMolyneux A small part of the Vatican's private arsenal.
. https://t.co/zGpGsX8Hup</t>
  </si>
  <si>
    <t>RT @tkinder: @StefanMolyneux Maybe the Pope goes first and drops his guards and tears down the wall around the Vatican. We’ll see what happ…</t>
  </si>
  <si>
    <t>RT @StefanMolyneux: This may be the dumbest tweet in history. https://t.co/wLDUsmYLBS</t>
  </si>
  <si>
    <t>RT @lawyerberlin: Lieber Gott: Bitte lass mich in hohem Alter friedlich einschlafen, ohne dass ich zuvor zum Pflegefall wurde. Und mach, da…</t>
  </si>
  <si>
    <t>RT @CollinRugg: The “tolerant, loving Left” led by Michelle Wolf spent the evening last night attacking Sarah Huckabee Sanders and the rest…</t>
  </si>
  <si>
    <t>RT @ElderLansing: My friend Jamie had on her TEAM TRUMP t shirt when approached by a black woman who had a 1000 questions about Trump inclu…</t>
  </si>
  <si>
    <t>RT @therealroseanne: they use women to attack and bully women.</t>
  </si>
  <si>
    <t>RT @polishprincessh: Must be same poll that showed Hillary had a 95% chance of winning.
In my "poll" most women think, you Maxine are a lyi…</t>
  </si>
  <si>
    <t>RT @Education4Libs: Great Britain.
A nation that celebrates the birth of a royal baby &amp;amp; executes the baby of commoners.</t>
  </si>
  <si>
    <t>RT @FoxNews: .@PressSec, April 2017: "The only war on women that I see is the one that's being waged against every woman and every female t…</t>
  </si>
  <si>
    <t>RT @IvankaTrump: This #GoodDeedsDay, Arabella &amp;amp; I made costumes for a children’s hospital, activity kits for kids joining their parents at…</t>
  </si>
  <si>
    <t>RT @GovMikeHuckabee: Those who think that the tasteless classless bullying at the WHCD was an example of the 1st Amendment should never con…</t>
  </si>
  <si>
    <t>RT @RealJamesWoods: Because class shines bright in the face of low class trash. They were beacons in a night of liberal embarrassment and s…</t>
  </si>
  <si>
    <t>RT @DLoesch: This guy got a vote of NO CONFIDENCE last week 534-94 by his own Broward Sheriff's Office Deputies Association. Union Prez Jef…</t>
  </si>
  <si>
    <t>RT @redsteeze: I think I found part of that infection you’ve been talking about https://t.co/yGxpHk3SuI</t>
  </si>
  <si>
    <t>#JonTester owes Admiral Jackson and the country to be FIRED without benefits and dragged through mud with every single corruption in his life inclusive his family
#AnEyeForAnEye https://t.co/eSR6HkmLhZ</t>
  </si>
  <si>
    <t>#JonTester owes Admiral Jackson and the country to be FIRED and dragged through mud with every single corruption in his life inclusive his family
#AnEyeForAnEye https://t.co/axRUufxqT9</t>
  </si>
  <si>
    <t>@leftylibby @JohnBrennan You're blond... but that's no excuse for your derangement. Put your pussyhat on</t>
  </si>
  <si>
    <t>@JohnBrennan You and Clapper lie under oath and you both committed treasonous crimes - you can't clapper yourself out of the noose</t>
  </si>
  <si>
    <t>RT @MZHemingway: I know I criticize CNN a lot but I thought that was very good and honest of them to have contributor James Clapper accept…</t>
  </si>
  <si>
    <t>RT @MZHemingway: "... and to put them in their ink-stained wretch place.  No, Andrea Mitchell isn't royalty.  Ditto the network anchors.  T…</t>
  </si>
  <si>
    <t>RT @MZHemingway: From another: "I do so truly LOVE [DJT].  When I was in the Bush administration, we thought we had to play along.  To pret…</t>
  </si>
  <si>
    <t>RT @MZHemingway: From a reader: "I would say Michelle Wolf was raising GOP turnout in the fall but most normal Americans aren't even watchi…</t>
  </si>
  <si>
    <t>RT @sigi_hill: @MZHemingway #MichelleWolf the next #KathyGriffin
The left destroys themselves</t>
  </si>
  <si>
    <t>@MZHemingway #MichelleWolf the next #KathyGriffin
The left destroys themselves</t>
  </si>
  <si>
    <t>RT @MZHemingway: If by “destroys” you mean “reminds people why they utterly loathe the media and vote Trump,” you are correct. https://t.co…</t>
  </si>
  <si>
    <t>RT @AriFleischer: This is foul.  It’s uncalled for. It’s nasty. And not funny.  The WH staff should stop attending this dinner. https://t.c…</t>
  </si>
  <si>
    <t>RT @bdomenech: Has CNN asked James Clapper about his lie yet?</t>
  </si>
  <si>
    <t>RT @brithume: He’s talking about the White House Correspondents Assn dinner. He’s right. https://t.co/kTQtxpQKbD</t>
  </si>
  <si>
    <t>RT @MegKinnardAP: If the #WHCD dinner did anything tonight, it made the chasm between journalists and those who don't trust us, even wider.…</t>
  </si>
  <si>
    <t>RT @greggutfeld: i wish they had a WHCD every week. the damage these cranks do to themselves is profound, and they can't even see it.</t>
  </si>
  <si>
    <t>@maggieNYT @JuanitaScarlett @PressSec Your are even proud of yourself?You really belong in the gutter.</t>
  </si>
  <si>
    <t>@maggieNYT @PressSec H that you even show your visage anywhere anymore shows the zombie you are - just a gutter paparazzi, slander and lies are no 1A but a crime, you are a repugnant mob, cannot hold the water for Sarah Sanders.</t>
  </si>
  <si>
    <t>RT @redsteeze: The network who blackmailed a person for making a gif has a chyron calling the WHCD a First Amendment Event</t>
  </si>
  <si>
    <t>@jeffzeleny Hyper-hallucinating #MediaMob braindead zombies exposing themselves the pompous dumb-asses that are not even funny or have all their faculties. What kind of gutters do these rats come from - just to please their DNC handlers?
You hate America! 
#RedWaveRising2018</t>
  </si>
  <si>
    <t>RT @redsteeze: RNC should be running this clip as an ad tomorrow morning. https://t.co/TpgbiWp68N</t>
  </si>
  <si>
    <t>@megwagner Hyper-hallucinating #MediaMob braindead zombies exposing themselves the pompous dumb-asses that are not even funny or have all their faculties. What kind of gutters do these rats come from - just to please their DNC handlers?
They hate America! 
#RedWaveRising2018</t>
  </si>
  <si>
    <t>Hyper-hallucinating #MediaMob braindead zombies exposing themselves the pompous dumb-asses that are not even funny or have all their faculties. What kind of gutters do these rats come from - just to please their DNC handlers?
They hate America! 
#RedWaveRising2018 https://t.co/ep4ydmoaPZ</t>
  </si>
  <si>
    <t>#DemocRATs are criminal, and a threat to our country https://t.co/BT1pnTGRDd</t>
  </si>
  <si>
    <t>RT @seanhannity: https://t.co/iNp14kNsm3</t>
  </si>
  <si>
    <t>RT @seanhannity: https://t.co/ncqtMLQAMe</t>
  </si>
  <si>
    <t>RT @seanhannity: More anti-Trump TEXTS REVEALED... https://t.co/iEwIsoDLkH</t>
  </si>
  <si>
    <t>Isn't that the truth again, President Trump: "I'll be watching people that failed so badly over the last 25 years explaining to me how to make a deal with North Korea - I get a big, big kick out of that." https://t.co/UiYXTkQhWz</t>
  </si>
  <si>
    <t>RT @realDonaldTrump: Look forward to being in the Great State of Michigan tonight. Major business expansion and jobs pouring into your Stat…</t>
  </si>
  <si>
    <t>RT @realDonaldTrump: Just had a long and very good talk with President Moon of South Korea. Things are going very well, time and location o…</t>
  </si>
  <si>
    <t>RT @realDonaldTrump: “Clapper lied about (fraudulent) Dossier leaks to CNN” @foxandfriends FoxNews  He is a lying machine who now works for…</t>
  </si>
  <si>
    <t>RT @JTMYVA: @realDonaldTrump Liberals will turn on anyone Trump supports in a dime. Look at how they’re doing Kanye. It’s hypocrisy of the…</t>
  </si>
  <si>
    <t>RT @JTMYVA: @realDonaldTrump Susan Rice also had some great things to say about Dr. Ronny Jackson until Trump nominated him for the VA! htt…</t>
  </si>
  <si>
    <t>RT @JTMYVA: @realDonaldTrump David Axelrod loved Ronny Jackson a few months ago! https://t.co/1rKSr2mSyt</t>
  </si>
  <si>
    <t>RT @JTMYVA: @realDonaldTrump How come the liberals want to put the onus on Trump for these Jackson allegations? They’re fake, but if they w…</t>
  </si>
  <si>
    <t>RT @realDonaldTrump: ....great people of Montana will not stand for this kind of slander when talking of a great human being. Admiral Jacks…</t>
  </si>
  <si>
    <t>RT @sigi_hill: @realDonaldTrump #JonTesterResign NOW
DemocRATs are the real enemy of America 
#CharacterAssassination fake dossiers is a co…</t>
  </si>
  <si>
    <t>@realDonaldTrump #JonTesterResign NOW
DemocRATs are the real enemy of America 
#CharacterAssassination fake dossiers is a communist tactic - #DemocRATsAreCommunists
#LiberalismIsAMentalDisorder</t>
  </si>
  <si>
    <t>RT @JTMYVA: @realDonaldTrump Anyone that Trump nominates the Left will try and destroy. It doesn’t matter how qualified, how good or how ab…</t>
  </si>
  <si>
    <t>RT @JTMYVA: @realDonaldTrump There was no truth to what Tester accused this good man of. Jackson was an honorable veteran and doctor to man…</t>
  </si>
  <si>
    <t>RT @JTMYVA: @realDonaldTrump Jon Tester needs to be punished severely in his re-election bid. A total hack! I don’t care if they vote in Os…</t>
  </si>
  <si>
    <t>RT @realDonaldTrump: Allegations made by Senator Jon Tester against Admiral/Doctor Ron Jackson are proving false. The Secret Service is una…</t>
  </si>
  <si>
    <t>RT @realDonaldTrump: House Intelligence Committee rules that there was NO COLLUSION between the Trump Campaign and Russia. As I have been s…</t>
  </si>
  <si>
    <t>RT @WhiteHouse: "So today, on behalf of the United States, I want to thank every Olympian and Paralympian... To every member of @TeamUSA, I…</t>
  </si>
  <si>
    <t>RT @BackTheCops: R.I.P Police Officer Jesus "Chuy" Cordova, Nogales Police Department, Arizona
E.O.W: Fri, April 27, 2018
My sincere condol…</t>
  </si>
  <si>
    <t>RT @PoliticalShort: Our self-obsessed parochial press corps is an embarrassment. https://t.co/s0ExQqnzjN</t>
  </si>
  <si>
    <t>RT @KamVTV: Unbelievable!!!!!!!!! 
More Fake News From CNN: Secret Service Has No Record of Dr. Ronny Jackson Banging on a Door While Drunk…</t>
  </si>
  <si>
    <t>RT @RealJamesWoods: “Fake News Prom.” Dear Lord, we live in entertaining times. I have a truly cherished friend who absolutely loses his sh…</t>
  </si>
  <si>
    <t>Racist revolting deranged hysteric lying pos https://t.co/9biMSlYkjq via @thedailybeast</t>
  </si>
  <si>
    <t>RT @JW1057: @BryanLowry3 @AGJoshHawley @J_Hancock Perhaps, LatterBoy should have spent his work day reading the consent decree, rather than…</t>
  </si>
  <si>
    <t>RT @truth_pray: @PoliticalShort @SenFeinstein @ChuckGrassley OMG @ChuckGrassley you overreached yesterday for Mueller investigation we have…</t>
  </si>
  <si>
    <t>RT @misstozak: @PoliticalShort @SenFeinstein @ChuckGrassley Senator Feinstein.  Say it isn't so!!!
Unless if course IT IS SO.
#CorruptBankr…</t>
  </si>
  <si>
    <t>RT @Hope4Hopeless1: @Shawtypepelina @YearOfZero @KathieConway @RealTravisCook @inthejungle234 @Neilin1Neil @Norasmith1000 @sdieckhaus @Eric…</t>
  </si>
  <si>
    <t>RT @PhxGOP: Here are some criminal laws James Comey broke with his memo leaks:
18 USC 1505
18 USC 1515b
18 USC 641
18 USC 793
18 USC 1924A…</t>
  </si>
  <si>
    <t>RT @Mike_Press19: Uma Thurman says: “Trump is the best president in the U.S. History and We must respect Him” Do you support Uma? &amp;lt;… https:…</t>
  </si>
  <si>
    <t>RT @SenTedCruz: I encourage all my fellow Americans to join me today in praying for Alfie and his family.</t>
  </si>
  <si>
    <t>RT @SeverePayne: Allow me to fix the typos...
It should read as follows. 
"Inside the Soros funded, America hating, race-baiting, fake ne…</t>
  </si>
  <si>
    <t>RT @LauraLoomer: 🙌🏻 The Motto https://t.co/pvMh3jgTZt</t>
  </si>
  <si>
    <t>RT @RedNationRising: WooHoo! Preistap has flipped! He knows all the misdeeds of all the conspirators above &amp;amp; below him and is a star witnes…</t>
  </si>
  <si>
    <t>RT @realDonaldTrump: Is everybody believing what is going on. James Comey can’t define what a leak is. He illegally leaked CLASSIFIED INFOR…</t>
  </si>
  <si>
    <t>RT @realDonaldTrump: After a furious year of missile launches and Nuclear testing, a historic meeting between North and South Korea is now…</t>
  </si>
  <si>
    <t>Thanks to your brilliant tough leadership Mr. President @realDonaldTrump 
You are a blessing to America - God blesses You!
#KAG2020 https://t.co/b2fWrjsdRg</t>
  </si>
  <si>
    <t>RT @realDonaldTrump: So great to have Staff Sgt. Dan Nevins and the incredible WOUNDED WARRIORS with me in the White House yesterday. These…</t>
  </si>
  <si>
    <t>RT @realDonaldTrump: Please do not forget the great help that my good friend, President Xi of China, has given to the United States, partic…</t>
  </si>
  <si>
    <t>RT @Education4Libs: If you think liberal heads are exploding now, just wait until President Trump is re-elected in 2020.</t>
  </si>
  <si>
    <t>RT @PoliticalShort: Daniel Jones, a former staffer for Sen. Feinstein, hired Fusion GPS and Christopher Steele after the 2016 election to p…</t>
  </si>
  <si>
    <t>RT @SurfPHX: Thank You Mr. President!
@POTUS 💙🇺🇸
Your calm, cool, collectiveness &amp;amp; willingness to bring your UNIQUE ways to this White Hou…</t>
  </si>
  <si>
    <t>RT @JakeHighwell: While Donald Trump was ending the Korean War...
Barack Obama was sitting on the couch watching the NFL Draft.
Hostiliti…</t>
  </si>
  <si>
    <t>RT @buzzman888: 🐶🐶 If This Doesn’t Make You Feel #Good Then You Don’t Have a Pulse! 🐶🐶#PetAdoption #InstaLove https://t.co/E4nF1y7ixT</t>
  </si>
  <si>
    <t>RT @SebGorka: Only stunning if you actually believe him. 
We KNOW @Comey is a liar and a leaker, a man with ZERO moral integrity. https://…</t>
  </si>
  <si>
    <t>RT @Jali_Cat: @JohnBrennan ‘Stay tuned Mr. President’??? Stay tuned for what? The public to hear the BS that’s already been leaked to you??…</t>
  </si>
  <si>
    <t>RT @brunofranzR: 👍👍👍 https://t.co/OUL4TWkVKo</t>
  </si>
  <si>
    <t>RT @Trumpfan1995: Jim Acosta:
Always reporting the news... VERY SERIOUSLY.
😲🤭🙈😂😂😂
#MAGA https://t.co/GMDmtK8NZJ</t>
  </si>
  <si>
    <t>RT @LisaMei62: He's too much of a coward to agree to debate @RealCandaceO. https://t.co/oxZe9BUtIk</t>
  </si>
  <si>
    <t>RT @immigrant_legal: The House Intelligence Committee released its final report and found no evidence of collusion between Donald Trump's 2…</t>
  </si>
  <si>
    <t>RT @Parish_sr: https://t.co/wWwzSGD3xT</t>
  </si>
  <si>
    <t>RT @CollinRugg: Okay I’m getting a little exhausted from all this winning:
-North and South Korea sign peace treaty
-Kanye is on the Trump…</t>
  </si>
  <si>
    <t>RT @vnranger1069: The nobel peace prize is worthless unless they revoke the one given to Obama! https://t.co/RtvbdUxql8</t>
  </si>
  <si>
    <t>RT @charliekirk11: Until 1970, Black women were more likely to be married than white women
Then the welfare state kicked in thanks to LBJ’…</t>
  </si>
  <si>
    <t>RT @Education4Libs: President Trump is accomplishing something our last 11 Presidents could not - putting an end to the 65 year Korean War.…</t>
  </si>
  <si>
    <t>RT @johncardillo: Isn’t @brhodes sick of being wrong about literally everything? https://t.co/dHt6znjZkD</t>
  </si>
  <si>
    <t>RT @larryelder: As racism recedes as a major problem, dems panic. What if blacks wake up and vote on economy, schools, public safety and na…</t>
  </si>
  <si>
    <t>RT @realDonaldTrump: Kanye West has performed a great service to the Black Community - Big things are happening and eyes are being opened f…</t>
  </si>
  <si>
    <t>RT @1776Stonewall: Republicans are threatening in the California gubernatorial race. There is a definite Red-Wave coming in California. not…</t>
  </si>
  <si>
    <t>@annvandersteel @realDonaldTrump @GenFlynn Add the EPA under Gina McCarthy for misusing of millions of $s of funds and lying under oath, destroying records like Killary
https://t.co/0He4kXapWP</t>
  </si>
  <si>
    <t>Add the EPA under Gina McCarthy for misusing of millions of $s of funds and lying under oath, destroying records like Killary
https://t.co/0He4kXapWP https://t.co/jROyMSmEWf</t>
  </si>
  <si>
    <t>Thanks to @POTUS @realDonaldTrump 
Our President's brilliant leadership brought rocket man to his knees!
This is historic! https://t.co/a0K9oNxEBe</t>
  </si>
  <si>
    <t>RT @ScottPresler: Last Few Days Under Trump:
✔️Kanye wears MAGA hat
✔️Chance The Rapper says you don't have to be black &amp;amp; democrat
✔️Rep…</t>
  </si>
  <si>
    <t>RT @DiamondandSilk: Look at what President Trump is doing.  He's breaking down deep seeded barriers and making history.  Love it! https://t…</t>
  </si>
  <si>
    <t>RT @JacobAWohl: @realDonaldTrump If Mueller had one ounce of integrity, he would have stepped down a long time ago</t>
  </si>
  <si>
    <t>RT @DonaldJTrumpJr: Best short ever! Remember who decides this stuff. Noting to do with merit as we have all seen. The globalist elite woul…</t>
  </si>
  <si>
    <t>RT @StephenMilIer: The one thing the US has in common with North Korea, is that in both countries it's the Communist Party who controls the…</t>
  </si>
  <si>
    <t>RT @TyEducatingLibs: Korean War to End!
Unreal! What a time to be alive!
#Trump2020</t>
  </si>
  <si>
    <t>RT @Sticknstones4: @tkinder @EricGreitens Sworn court transcript refuting sham house report
100k delivery of cash 
Lead investigator lies &amp;amp;…</t>
  </si>
  <si>
    <t>RT @GovMikeHuckabee: Signed peace agreement by NOKO and S. Korea-stunning, historic, &amp;amp; gives hope for the region. Can even his craziest cri…</t>
  </si>
  <si>
    <t>RT @GOPChairwoman: .@realDonaldTrump won the election fair and square because he was a great candidate who stood up for the forgotten men a…</t>
  </si>
  <si>
    <t>❌Austin Petersen - a Libertarian weasel
MO and President Trump needs conservative @SykesforSenate https://t.co/lzvDQI42FI</t>
  </si>
  <si>
    <t>RT @FLOTUS: Thank you to everyone for all of the wonderful birthday wishes!</t>
  </si>
  <si>
    <t>RT @1776Stonewall: Gotta chalk the end to the Korean War as a win for Trump as well. The South Korean President has credited Trump for this…</t>
  </si>
  <si>
    <t>RT @seanhannity: https://t.co/SUYCaAaz38</t>
  </si>
  <si>
    <t>@magathemaga1 @RealTravisCook @MSTLGA @gagemitchusson @philip_saulter @Lautergeist @HotPokerPrinces @SKOLBLUE1 @RightSideUp313 @blackwidow07 @Avenge_mypeople Attorney/client privileges were dumped with the Mueller raid on Attorney Michael Cohen</t>
  </si>
  <si>
    <t>RT @magathemaga1: #BREAKING: #MoneyBagsAl, atty for ex-husband at center of #Greitens case, will have to answer questions Mon &amp;amp; identify wh…</t>
  </si>
  <si>
    <t>RT @dbongino: 2015 - No Collusion
2016 - No Collusion
2017 - No Collusion
January - No Collusion
February - No Collusion
March - No Collusi…</t>
  </si>
  <si>
    <t>RT @IvankaTrump: North and South Korea agree to goal of 'complete denuclearisation' of Korean peninsula and aim to establish permanent peac…</t>
  </si>
  <si>
    <t>RT @thebradfordfile: Tapper and Clapper 
Sitting in a tree.
L-E-A-K-I-N-G !
First comes lies,
Truth comes later,
Then comes prison for
THE…</t>
  </si>
  <si>
    <t>RT @mitchellvii: The Democrats have spent over a year and millions of dollars trying to figure out why they lost in 2016.
They should have…</t>
  </si>
  <si>
    <t>RT @HyltonRobin: @KatTheHammer1 @sengraham2016 Senator Graham, we know you are coming up for reelection! You are a RINO! We know not to tru…</t>
  </si>
  <si>
    <t>RT @PersistenceTee: Rush Limbaugh Radio:  60% of American voters say the media, lobbyists, bureaucrats and BOTH Democrat and Republican est…</t>
  </si>
  <si>
    <t>RT @KrisParonto: Heading to Ohio to get some more training in and sign a couple books 📚 at Ready Line Shooting… https://t.co/PT8oPBzZdP</t>
  </si>
  <si>
    <t>RT @bbusa617: 118 year old 'Oh! Susanna' songwriter's statue removed amid criticism because it includes a slave sitting at his feet, plucki…</t>
  </si>
  <si>
    <t>RT @PoliticalShort: Clapper leaked details of the Steele dossier briefing given to then-President-elect Trump to CNN’s Jake Tapper, lied to…</t>
  </si>
  <si>
    <t>RT @realDonaldTrump: Just Out: House Intelligence Committee Report released. “No evidence” that the Trump Campaign “colluded, coordinated o…</t>
  </si>
  <si>
    <t>RT @USAHotLips: Absolutely breathtaking‼️
We are witnessing HISTORY!! I’m in awe. 
Imagine what else @realDonaldTrump can do. #KAG 
#Kor…</t>
  </si>
  <si>
    <t>RT @TomFitton: As the @RealDonaldTrump-Russia collusion conspiracy theory collapses, @JudicialWatch finds new Clinton corruption email evid…</t>
  </si>
  <si>
    <t>RT @foxandfriends: .@RepDeSantis: If James Comey really didn’t know that Hillary Clinton funded the anti-Trump dossier and he’s using it in…</t>
  </si>
  <si>
    <t>RT @charliekirk11: Obama's policies created ISIS, did nothing to stop N. Korea from getting nukes, allowed Putin to do whatever he wanted,…</t>
  </si>
  <si>
    <t>RT @FoxNews: "Hopefully we're going to have great success." –@POTUS on North Korea negotiations. https://t.co/B2PKIJNxXs</t>
  </si>
  <si>
    <t>RT @JackPosobiec: To be clear: CNN's Jake Tapper participated in a leak of highly classified information from James Clapper and knowingly p…</t>
  </si>
  <si>
    <t>RT @DiamondandSilk: If @ChrisCuomo can use his airtime covering an insignificant porn star then whats wrong with The @HouseJudiciary allowi…</t>
  </si>
  <si>
    <t>Stop worshiping royal kids, UK!
🚨SAVE #BabyAlfie https://t.co/MkCw2a5OMG</t>
  </si>
  <si>
    <t>RT @SebGorka: The only collusion was between, Hillary, @Comey's cronies, and the Russian propaganda peddler Christopher Steele:
Here's the…</t>
  </si>
  <si>
    <t>RT @OliverMcGee: .@realDonaldTrump and @MikeTyson https://t.co/gxjJSafoSb</t>
  </si>
  <si>
    <t>RT @1776Stonewall: https://t.co/61DTQuQbc3 Live Rush Limbaugh feed. He's about to go off on James Comey, and his insane answers on Fox yest…</t>
  </si>
  <si>
    <t>RT @dbongino: This CNN piece is a massive media spin job. This connected Russian lawyer was working with a company (Fusion GPS) which was H…</t>
  </si>
  <si>
    <t>RT @BackTheCops: “I had the honor of helping Miss Dalilah celebrate her 6th birthday. Her wish was to be a police officer for the day so it…</t>
  </si>
  <si>
    <t>RT @GOPChairwoman: Americans recognize that Republicans are delivering. They feel the positive impact of these tax cuts, wages going up, jo…</t>
  </si>
  <si>
    <t>RT @JTM_YVA: @JohnBrennan The Democrat corruption is on a level that no one ever imagined. I mean, even the most conspiratorial conspiracy…</t>
  </si>
  <si>
    <t>RT @sigi_hill: @JohnBrennan Keep on acting ignorant hyper-psychopath
You are a serial criminal like your buddy Obama and Comey
Hanging for…</t>
  </si>
  <si>
    <t>@JohnBrennan Keep on acting ignorant hyper-psychopath
You are a serial criminal like your buddy Obama and Comey
Hanging for treason!</t>
  </si>
  <si>
    <t>RT @TheRealHublife: "You have the right to remain silent. Anything you say can and will be used against you in a court of law. You have the…</t>
  </si>
  <si>
    <t>#ClaireMcCaskillMUSTGo
Courtland @Sykes4Senate 2018 https://t.co/VE7dMmBc2e</t>
  </si>
  <si>
    <t>⚡️🔥🔥CNN credits Korean peace progress 2 rocket man's nefarious sister!
Hyper-hallucinating #MediaMob 💣💣
#ShutDownCNN #CNNIsTerrorism 
CNN the only American cable running on all foreign countries' TVs- this feral beast destroys our President/family/admin reputation &amp;amp; #MAGA https://t.co/64sqN67dix</t>
  </si>
  <si>
    <t>@RealTravisCook ...yet savage CNN credits Korean peace progress 2 rocket man's nefarious sister!Hyper-hallucinating #MediaMob
#ShutDownCNN #CNNIsTerrorism 
CNN the only American cable running on all foreign countries' TVs- this feral beast destroys our President/family/admin reputation &amp;amp; #MAGA https://t.co/lDpl3ixdKB</t>
  </si>
  <si>
    <t>RT @RealTravisCook: They keep saying President #Trump is a moron...yet he's gotten more progress made in our issues with #NorthKorea than e…</t>
  </si>
  <si>
    <t>The #SlimeBallComey parade screams to high heaven !
Each of his circus shows reveals more crimes !
WHY IS @Comey NOT ARRESTED YET ?
Either on TV or at Barnes &amp;amp; Nobel like any criminal ! 
No excuses, no deals, no pardons ! 
#Comey shall hang next to Killary! https://t.co/bLybMbnnqF</t>
  </si>
  <si>
    <t>RT @DonaldJTrumpJr: Me watching the media’s desperate attempts to spin the narrative today. https://t.co/LnaZCb8WDx</t>
  </si>
  <si>
    <t>RT @seanhannity: ***BREAKING*** House Intelligence Committee finds NO COLLUSION... https://t.co/DMyMsglbr6</t>
  </si>
  <si>
    <t>RT @DonaldJTrumpJr: I’m new to this but this seems like a really big deal! Right? https://t.co/EjhYaWd74V</t>
  </si>
  <si>
    <t>@DonaldJTrumpJr Since savage CNN pic was removed by Twitter from @DonaldJTrumpJr tweet, here is the capture:
#ShutDownCNN #CNNIsTerrorism
CNN the only American cable running on all foreign countries' TVs- this feral beast destroys our President/family/admin reputation &amp;amp; #MAGA! https://t.co/eCdCbQcDeU</t>
  </si>
  <si>
    <t>@marykbruce You lying POS #FakeNewsMob
Reality proves you wrong every day
#ThankYouScottPruitt https://t.co/6iEZ2znJpl</t>
  </si>
  <si>
    <t>RT @AfD: #AfD-Bundesvorstandsmitglied @KayGottschalk1 zum Skandal um unrechtmäßige Asylentscheidungen beim #BAMF:
❝Die Befürchtung liegt na…</t>
  </si>
  <si>
    <t>@marykbruce YOU TRAILER-TRASH SCUM PAPARAZZI ASSASSINATED ANOTHER HONEST MAN'S CHARACTER BC YOU ARE COLLUDING WITH THE REAL CRIMINALS CLINTONMAFIA CONMANOBAMA AND ALL THEIR GANGMEMBERS
 https://t.co/zGyPl6Vabz</t>
  </si>
  <si>
    <t>RT @VisioDeiFromLA: A prophet. Trump on North Korea in 1999
#Maga #Korea #RedWave2018 #Missouri #StLouis #Kcmo #stl #trump #MeetThePress #…</t>
  </si>
  <si>
    <t>RT @magathemaga1: My friends &amp;amp; my enemies
We may disagree on #Greitens but agree #Missouri a red state &amp;amp; must remain so
Clean Missouri is…</t>
  </si>
  <si>
    <t>RT @magathemaga1: ⚠️ BREAKING ⚠️
Sketch released of person who convinced PS to go to KMOV with made up story about #Greitens &amp;amp; KS
Since #…</t>
  </si>
  <si>
    <t>RT @SaraCarterDC: https://t.co/CQtEWrKFXz</t>
  </si>
  <si>
    <t>RT @DevinNunes: Congratulations on a good start. Long way to go...but this is a positive step for mankind! https://t.co/4rHTgbzKRi</t>
  </si>
  <si>
    <t>RT @mrsmaisy: @PeteS77252077 @ScottCharton @PoliticoKevin @EricGreitens @GovGreitens6 @TomJEstes @SpeakerTimJones @GOPMissouri @Peoples_Pun…</t>
  </si>
  <si>
    <t>RT @FoxNews: .@BretBaier: "When did you learn that the DNC and Hillary Clinton campaign had funded Christopher Steele's work?"
@Comey: "I…</t>
  </si>
  <si>
    <t>RT @FoxNews: 'He's Just Wrong': @Comey Pushes Back on Trump Claims He Was a 'Leaker &amp;amp; Liar' https://t.co/FpOwG2E6bA</t>
  </si>
  <si>
    <t>RT @FoxNews: .@TGowdySC on @Comey interview: "Dir. Comey's recollection is flawed if he does not remember telling Congress that his agents…</t>
  </si>
  <si>
    <t>RT @FoxNews: .@TGowdySC on @Comey #SpecialReport interview: "Jim Comey has a definition of the word 'leak' that no one else has. What he sa…</t>
  </si>
  <si>
    <t>RT @FoxNews: NOW: South Korean President Moon Jae-in meets North Korean leader Kim Jong Un for a historic summit. https://t.co/qscw5BVqse h…</t>
  </si>
  <si>
    <t>RT @FoxNews: Kim Jong Un walks into South Korea to shake hands with Moon Jae-in https://t.co/nexjXaABRW</t>
  </si>
  <si>
    <t>RT @FoxNews: .@Comey says he'd still be at FBI had Trump not fired him https://t.co/0peRM4Wv2h</t>
  </si>
  <si>
    <t>RT @FoxNews: Oklahoma House passes 'Constitutional Carry' gun bill https://t.co/Li0Rpab4ke</t>
  </si>
  <si>
    <t>RT @FoxNews: South Korean President Moon Jae-in and North Korean leader Kim Jong Un sit down for a historic summit in the DMZ. https://t.co…</t>
  </si>
  <si>
    <t>RT @FoxNews: .@GreggJarrett on @Comey: "Isn't it interesting, he leaked these classified documents to three people who he's now hired as hi…</t>
  </si>
  <si>
    <t>RT @FoxNews: David Limbaugh on @Comey interview: "This is what Middle America likes about @realDonaldTrump, that when he's falsely accused…</t>
  </si>
  <si>
    <t>RT @FoxNews: .@RealCandaceO on Chicago: "It's a war zone, and @POTUS offered to send the National Guard and the Democrats majorly opposed h…</t>
  </si>
  <si>
    <t>RT @FoxNews: .@RealCandaceO on @realDonaldTrump support: "For so long they have told us that because there was a black president, this mean…</t>
  </si>
  <si>
    <t>RT @FoxNews: Stunning images show the historic meeting taking place between North Korean leader Kim Jong Un and South Korean President Moon…</t>
  </si>
  <si>
    <t>@FoxNews @POTUS @foxandfriends DOJ/ FBI/Congress all know that #CriminalComey committed high crimes yet he is parading like a bird of paradise, why is he not arrested yet, either on TV or at Barnes and Nobel like any criminal? No excuses, no deals, no pardons. He needs to hang next to Killary.</t>
  </si>
  <si>
    <t>RT @FoxNews: .@POTUS on @foxandfriends: “Comey is a leaker and he’s a liar.” https://t.co/RggSJ7oQQM https://t.co/DGKkxszfmR</t>
  </si>
  <si>
    <t>RT @FoxNews: .@gen_jackkeane: "@POTUS is right when he talks about previous administrations did not accomplish what they should have." http…</t>
  </si>
  <si>
    <t>It is sickening for any law-abiding citizens to watch this #Slimeball bragging publicly about his crimes as if they are cavalier jokes. Why is this country forced to have criminal psychopaths like Comey forced down our throats that he/they is/are untouchable? #HangThemAll https://t.co/cgN0DWomq6</t>
  </si>
  <si>
    <t>@FoxNews @BretBaier @Comey It is sickening for any law-abiding citizens to watch this #Slimeball bragging publicly about his crimes as if they are cavalier jokes. Why is this country forced to have criminal psychopaths like Comey forced down our throats that he/they is/are untouchable? #HangThemAll</t>
  </si>
  <si>
    <t>@FoxNews @BretBaier @Comey DOJ/ FBI/Congress all know that #CriminalComey committed high crimes yet he is parading like a bird of paradise, why is he not arrested yet, either on TV or at Barnes and Nobel like any criminal? No excuses, no deals, no pardons. He shall hang next to Killary.</t>
  </si>
  <si>
    <t>RT @FoxNews: OPINION: Photo of praying students should be celebrated, so why is it sparking anti-Christian hatred instead? https://t.co/Yh6…</t>
  </si>
  <si>
    <t>RT @DonaldJTrumpJr: It’s always incredible to watch a cultural shift happen in real time. I respect those willing to take the lead breaking…</t>
  </si>
  <si>
    <t>RT @KanyeWoke: why is it such a big deal to find out that someone isn’t a Democrat? You’re not allowed to assume someone’s gender but you’r…</t>
  </si>
  <si>
    <t>RT @DonaldJTrumpJr: U.S.weekly jobless claims fall to lowest levels since 1969. Job market strong. Great news for all Americans!
https://t.…</t>
  </si>
  <si>
    <t>RT @kanyewest: https://t.co/L9a7OeywJ6</t>
  </si>
  <si>
    <t>RT @DonaldJTrumpJr: Congrats to @RichardGrenell on his confirmation as Ambassador to Germany. I cant believe Dems made it take this long, b…</t>
  </si>
  <si>
    <t>@LogCabinGOP @RichardGrenell @RichardGrenell Viel Erfolg in Deutschland. Bitte arbeiten Sie mit der @AfD um Deutschland wieder herzustellen. Das gesamte Merkel Kartell ist Unheil fürs Land und Europa. Merkel hintergeht NAFTA, Iran sanct. DE braucht einen endgültigen Friedensvertrag aber keine islamisierung.</t>
  </si>
  <si>
    <t>RT @LogCabinGOP: ⭐CONGRATULATIONS @RichardGrenell!⭐
⭐CONFIRMED AS AMBASSADOR TO GERMANY⭐
⭐HIGHEST-RANKING GAY OFFICIAL EVER IN A GOP ADMI…</t>
  </si>
  <si>
    <t>RT @DonaldJTrumpJr: Happy birthday @FLOTUS! Wishing you an incredible day.</t>
  </si>
  <si>
    <t>RT @RubinReport: Intellectual hostage taking no longer works. https://t.co/IxZqvTqEpA</t>
  </si>
  <si>
    <t>RT @RealCandaceO: Can someone please tell @johnlegend that I openly challenge him to a debate regarding his stance that Trump’s policies ha…</t>
  </si>
  <si>
    <t>RT @JTM_YVA: @kanyewest Thinking freely means supporting Trump if you want to and not supporting him if you don't want to.</t>
  </si>
  <si>
    <t>RT @kanyewest: https://t.co/zxcloMEj9I</t>
  </si>
  <si>
    <t>RT @DonaldJTrumpJr: True Story, definitely not #fakenews 😂😂😂:
Trump Boys Beg Father To Nominate G.I. Joe Action Figure Cobra Commander For…</t>
  </si>
  <si>
    <t>RT @dbongino: Just to be clear - Comey was the Director of the most powerful law enforcement operation on earth and he’s still confused at…</t>
  </si>
  <si>
    <t>RT @sigi_hill: @Breaking911 #ProsecuteSheriffIsrael
#ProsecuteRobertRuncie
Both for the murder of 17!</t>
  </si>
  <si>
    <t>RT @DonaldJTrumpJr: Shocked there could be 1 let alone 94 voting for him. https://t.co/jEcbh47Dog</t>
  </si>
  <si>
    <t>@Breaking911 #ProsecuteSheriffIsrael
#ProsecuteRobertRuncie
Both for the murder of 17!</t>
  </si>
  <si>
    <t>RT @Chadwick_Moore: Just searched 5 popular gay sites and NONE have reported on @RichardGrenell making history today when Senate confirmed…</t>
  </si>
  <si>
    <t>RT @PressSec: Unforgettable evening at the White House for State Dinner honoring French President @EmmanuelMacron. @FLOTUS did an amazing j…</t>
  </si>
  <si>
    <t>RT @PressSec: So happy for my friend Michael. Truly one of a kind! https://t.co/a6i0fx2zNE</t>
  </si>
  <si>
    <t>@dougmillsnyt @PressSec I bet the kids are better behaved than their parents from hyper-hallucinating @CNN @ABC @NBCNews @CBSNews @MSNBC @NPR @YahooNews @NYT @washingtonpos. They will never be able to look their families in the eyes with all their lies</t>
  </si>
  <si>
    <t>RT @dougmillsnyt: On "take your child to work day", @PressSec with the help of her two children, takes questions in the White House Press R…</t>
  </si>
  <si>
    <t>RT @PressSec: Mike Pompeo watches as he’s confirmed Secretary of State https://t.co/qDSehtPskc</t>
  </si>
  <si>
    <t>@MikeMartinkovic @Dave_2014 @AliciaOxenhorn @statedeptspox Really! You war like in Korea now! You are really under a rock.</t>
  </si>
  <si>
    <t>@AliciaOxenhorn @statedeptspox Yes you are 😂😂😂 are you standing in your shaking boots that you peed in 🤣🤣🤣 dimwit</t>
  </si>
  <si>
    <t>RT @statedeptspox: Mike Pompeo has been sworn in today as the 70th U.S. Secretary of State. https://t.co/hJVQnV27Po</t>
  </si>
  <si>
    <t>@PressSec @POTUS ... and nothing leaked! 👏</t>
  </si>
  <si>
    <t>@PressSec @POTUS What a progress! THANK YOU and BRAVO @realDonaldTrump for your brilliant leadership. Great choice on SOS #Pompeo
#MAGA #KAG #PEACE</t>
  </si>
  <si>
    <t>@PressSec @POTUS Can some please remove these braindead snowflakes, what an embarrassment for a civilized country like us to expose such a scum of society. Please block these idiots</t>
  </si>
  <si>
    <t>RT @PressSec: Great to have Secretary Pompeo confirmed. He will do an excellent job helping @POTUS lead our efforts to denuclearize the Kor…</t>
  </si>
  <si>
    <t>RT @PressSec: Had a great time showing the kids around and answering questions from reporters-in-training! #TakeYourChildToWorkDay https://…</t>
  </si>
  <si>
    <t>RT @PressSec: Congratulations to @RichardGrenell for FINALLY being confirmed as AMB to Germany despite HISTORIC obstruction from Senate Dem…</t>
  </si>
  <si>
    <t>RT @PressSec: I pity the fool who doesn’t love 
@MrT! #TeamUSAAwards https://t.co/77hb9YPyXE</t>
  </si>
  <si>
    <t>Thanks to our brilliant @POTUS @realDonaldTrump this historical moment happened. 
We mourn those that sacrificed, but celebrate the future peace!
Peace for Korea! https://t.co/Na7V6haNGG</t>
  </si>
  <si>
    <t>@NotALoveS0ng You are an asshole. Choke on your own poison you idiot while we move on with our brilliant POTUS. And guess what: HE IS YOUR PRESIDENT you damn🕷️</t>
  </si>
  <si>
    <t>@RevSAllen @Cleo50506842 @dougmillsnyt @BradMossEsq @realDonaldTrump Will there be any time that you guys are not looking for sour grapes? Get a life and look at the success. Good grief, give us all a break.</t>
  </si>
  <si>
    <t>RT @dougmillsnyt: .@realDonaldTrump, taking part in "take your child to work day", invited children of White House Staff and White House pr…</t>
  </si>
  <si>
    <t>RT @WhiteHouse: It was a busy day at the White House for #TakeYourChildToWorkDay! https://t.co/XUpQnImmoG</t>
  </si>
  <si>
    <t>RT @realDonaldTrump: Loved being on @foxandfriends this morning. Great show!</t>
  </si>
  <si>
    <t>RT @pbarta68: @RepMarkMeadows @BretBaier Why isn’t his house and office being raided? Why isn’t he being perp walked?</t>
  </si>
  <si>
    <t>RT @TxLibertyLuvr: @RepMarkMeadows @BretBaier Mere mortals would've already been tried, convicted and in jail. Military folks would be in F…</t>
  </si>
  <si>
    <t>RT @RepMarkMeadows: Director Comey also claimed to not know for a fact whether the dossier was funded by the Democrats and Hillary Clinton…</t>
  </si>
  <si>
    <t>@RepMarkMeadows @BretBaier It is sickening for any law-abiding citizens to watch this #Slimeball bragging publicly about his crimes as if they are cavalier jokes. Why is this country forced to have criminal psychopaths like Comey forced down our throats that he/they is/are untouchable? #HangThemAll</t>
  </si>
  <si>
    <t>RT @sigi_hill: @RepMarkMeadows @BretBaier DOJ/ FBI/Congress all know that #CriminalComey committed high crimes yet he is parading like a bi…</t>
  </si>
  <si>
    <t>@RepMarkMeadows @BretBaier DOJ/ FBI/Congress all know that #CriminalComey committed high crimes yet he is parading like a bird of paradise, why is he not arrested yet, either on TV or at Barnes and Nobel like any criminal? No excuses, no deals, no pardons. He needs to hang next to Killary.</t>
  </si>
  <si>
    <t>RT @RepMarkMeadows: It's difficult to know where to begin on that Director Comey interview w/ @BretBaier. He just admitted to leaking his m…</t>
  </si>
  <si>
    <t>RT @CHIZMAGA: When an African American decides to think freely, Liberals alienate, slander, smear and besmirch them while Conservatives ral…</t>
  </si>
  <si>
    <t>RT @StephenMilIer: THE ART OF THE DEAL https://t.co/w6xo3VE1nt</t>
  </si>
  <si>
    <t>RT @LisaSmith4680: #TuckerCarlson @TuckerCarlson
You are my Spirit Animal! 
I say "DITTO" to EVERYTHING that comes out of your awesome mout…</t>
  </si>
  <si>
    <t>RT @DFBHarvard: What constitutes a "Leak"?
Well, it's like when Clinton said "it depends on what is, is".
According to Comey, he doesn't…</t>
  </si>
  <si>
    <t>RT @CollinRugg: Wait, so Comey was in charge of the FBI (most powerful law enforcement in the world) and he was unaware of who was funding…</t>
  </si>
  <si>
    <t>RT @RealTravisCook: #RogerGoodell surrounded by Cowboys legends, and still gets booed out of the building!  I'm not sure you could get a bi…</t>
  </si>
  <si>
    <t>RT @realDonaldTrump: The U.S. has put together a STRONG bid w/ Canada &amp;amp; Mexico for the 2026 World Cup. It would be a shame if countries tha…</t>
  </si>
  <si>
    <t>RT @IvankaTrump: It was an honor to join more than 200 Olympians tonight at the @TeamUSA Awards. Congratulations to our amazing athletes! #…</t>
  </si>
  <si>
    <t>RT @cyanideann: She had the nerve to say pompeo wasn’t fit cause he didn’t hold “American values “ meaning her liberal agenda, she like mos…</t>
  </si>
  <si>
    <t>RT @1776Stonewall: James Comey just said that "lady Justice has a blindfold and it should stay on" - Now let's be honest people, do any of…</t>
  </si>
  <si>
    <t>RT @gr8tjude: Media keeps reporting the fake news about @EPAScottPruitt please read below all the great things he has done↘️
Please retweet…</t>
  </si>
  <si>
    <t>RT @Sticknstones4: @sigi_hill 🕵🏻‍♂️How many more of these anonymous bags of cash have been couried to others ?  
This corruption wasn’t ju…</t>
  </si>
  <si>
    <t>RT @Sticknstones4: @sigi_hill How is it that the Judge hasn’t thrown this sham 💩show circus out of his courtroom yet ? What a waste of time…</t>
  </si>
  <si>
    <t>RT @EdBigCon: This Is Hilarious! https://t.co/ZC3Go4qBE6</t>
  </si>
  <si>
    <t>RT @RealCandaceO: “Think with empathy” coming from someone married to Chrissy Teigen is top 10 most ridiculously hypocritical text messages…</t>
  </si>
  <si>
    <t>RT @TheRealHublife: Get used to seeing big name celebrities and politicians being found guilty ala Bill Cosby. This is the beginning of a m…</t>
  </si>
  <si>
    <t>RT @ScottPresler: BREAKING: @RichardGrenell has been confirmed as US Ambassador to Germany! 
I am so proud of you, Ambassador Grenell. Tha…</t>
  </si>
  <si>
    <t>#MichaelObama is a horse! https://t.co/6li9jvcYR4</t>
  </si>
  <si>
    <t>RT @Jamierodr10: What Planet is Maxine Waters living on? In this Video she claims #70 percent of women want to Impeach Trump! #liberallunat…</t>
  </si>
  <si>
    <t>RT @TheRealHublife: 🎉HAPPY BIRTHDAY @FLOTUS Melania Trump!🎉
America is so proud to have you representing us and we appreciate how you hand…</t>
  </si>
  <si>
    <t>RT @rxpatrick: Investigator on Greitens' criminal case takes the 5th in deposition. Defense lawyers will now use that to try and toss out e…</t>
  </si>
  <si>
    <t>How is hired FBI-disgraced investigator #WilliamDonTisaby with a record of lying under oath be allowed to take the 5th🤪🤬
#GreitensIndictment is a SCAM
#ProsecuteKimGardner @stlcao #DisbarKimGardner
#HawleyResign
#IStandWithGovGreitens
#MoLeg #MoGov #MOSen #MOGOP https://t.co/s4C87gKEDg</t>
  </si>
  <si>
    <t>RT @KyleKashuv: My grandfather was one of the only survivors of the holocaust out of his entire family, and now a teacher is calling me the…</t>
  </si>
  <si>
    <t>RT @RealTravisCook: Look, I don't know if #KanyeWest is a Conservative--probably not. But at the very least, he is doing something that I'v…</t>
  </si>
  <si>
    <t>RT @RealTravisCook: Or a Woman, or a Hispanic, or a young person, or a gay person...None of those people are allowed to think fir themselve…</t>
  </si>
  <si>
    <t>@Shawtypepelina #MariaChappelle-Nadal is stripped of all rights to order anything, particularly inciting anybody's protest or order to resign. Senate Punishment short of removing her from office for calling for President Trump's assassination. https://t.co/LHHwoAFRk5</t>
  </si>
  <si>
    <t>RT @MactavishShawn: @MariaChappelleN You would also agree that it’s time for @brucefranksjr to resign as well? Due to his hateful and repul…</t>
  </si>
  <si>
    <t>RT @sigi_hill: @MariaChappelleN #MariaChappelle-Nadal is stripped of all rights to order anything, particularly inciting anybody's protest…</t>
  </si>
  <si>
    <t>@MariaChappelleN #MariaChappelle-Nadal is stripped of all rights to order anything, particularly inciting anybody's protest or order to resign. Senate Punishment short of removing her from office for calling for President Trump's assassination. https://t.co/6FbQiq6T5U</t>
  </si>
  <si>
    <t>RT @DeplorableGoldn: RT 🚨
As details came out, #greitens case only got stranger: private investigator had been found 2 have violated Alabam…</t>
  </si>
  <si>
    <t>RT @DeplorableGoldn: RT 🚨 #moleg #mogov https://t.co/YfzOMIzQ9s</t>
  </si>
  <si>
    <t>RT @RealTravisCook: @Neilin1Neil @Norasmith1000 @KathieConway @sdieckhaus @EricGreitens @AGJoshHawley Or, as the rest of the world refers t…</t>
  </si>
  <si>
    <t>RT @Neilin1Neil: @RealTravisCook @Norasmith1000 K.S. is not the victim! @KathieConway @sdieckhaus @EricGreitens @AGJoshHawley</t>
  </si>
  <si>
    <t>RT @RealTravisCook: A consensual affair between two people now makes someone a "victim"???  The goalposts keep moving all the time... #MoLe…</t>
  </si>
  <si>
    <t>RT @UnitedWeStandDT: @Comey 😂😂😂 You and ethical leadership in the same sentence now that’s funny 😂😂😂 https://t.co/okhrV3k8bb</t>
  </si>
  <si>
    <t>RT @sigi_hill: @magathemaga1 #MariaChappelle-Nadal is stripped of all rights to order anything, particularly inciting anybody's protest or…</t>
  </si>
  <si>
    <t>@magathemaga1 #MariaChappelle-Nadal is stripped of all rights to order anything, particularly inciting anybody's protest or order to resign. Senate Punishment short of removing her from office for calling for President Trump's assassination. https://t.co/llxRzudxhY</t>
  </si>
  <si>
    <t>RT @sigi_hill: @MariaChappelleN You are stripped of all rights to incite any orders! Remember, you called for President Trumps's assassinat…</t>
  </si>
  <si>
    <t>@MariaChappelleN You are stripped of all rights to incite any orders! Remember, you called for President Trumps's assassination https://t.co/XHDN2148tA</t>
  </si>
  <si>
    <t>RT @magathemaga1: Hey Nadal you gonna resign to for your comments against potus?
Both of you resign!
#MOLeg #mogov https://t.co/Mrr1e9lDIP</t>
  </si>
  <si>
    <t>RT @magathemaga1: He cant. This is a no brainer. If he hadn't waited until now to do this, it could be argued but now he is tainted.
#mole…</t>
  </si>
  <si>
    <t>@CASE103060 @SenatorTester @chuckschumer The internet does not forget or shove under the table like the #democRATMafia thinks @SenatorTester MafiaBoss @chuckschumer  #Waco</t>
  </si>
  <si>
    <t>@SenatorTester feel the uproar 
#MAGA is stronger than corrupt democRATs
🇺🇸🇺🇸🇺🇸🇺🇸🇺🇸 https://t.co/sBowGbdi3F</t>
  </si>
  <si>
    <t>RT @magathemaga1: #Greitens pays tribute 2 fallen police officers at event 4/25 in St. Charles
His speech paid tribute 2 police killed in…</t>
  </si>
  <si>
    <t>RT @ScottPresler: Both of my social media accounts, on Twitter &amp;amp; Facebook, are being manipulated by the platforms.
When you're a conservat…</t>
  </si>
  <si>
    <t>RT @1776Stonewall: Here in Times Square a bunch of crazy liberal environmentalists are about to pull down their pants in protest of Levi be…</t>
  </si>
  <si>
    <t>RT @OliverMcGee: .@kanyewest MAGA! 😂 https://t.co/QkS2oWfc68</t>
  </si>
  <si>
    <t>@AtomicElbow1
@RealAtomicElbow
BLOCK #RESIST #MASSReporting 
🆘🆘🆘🆘🆘🆘
Share in your rooms
🆘🆘🆘
This is who got FunkyTown suspended.</t>
  </si>
  <si>
    <t>RT @hickorymtnman: The UK's National Health Service is a disgrace
And the libs have brought some of that type of horrible system here
May…</t>
  </si>
  <si>
    <t>#Tisaby is known to lie under oath! #TisabyPerjury https://t.co/Gtl8QdQhpy</t>
  </si>
  <si>
    <t>Tisaby is knowN to the courts as lying under oath - PERJURY 
Crooked @stlcao @kimgardner77th hired him from out of state
#GreitensIndictment IS A SCAM
#MoLeg #MoGov #MOSen @AGJoshHawley where're YOU standing for Law&amp;amp;Order/Due Process in our state as we elected you to do? #RESIGN https://t.co/8AbUYu2Ejj</t>
  </si>
  <si>
    <t>Expose @roytemple incited the #WitchHunt against #Greitens - in proven communist-DNC-machine tactics - if you can't defeat th opposition assassinate their character - invent &amp;amp; recruit assassins - another fake like Trump's dossier
#LiberalismIsAMentalDisorder - MUST be eradicated https://t.co/ZhWn7iYgEq</t>
  </si>
  <si>
    <t>RT @theresa8235: @chuckwoolery @sigi_hill @RepMaxineWaters  practice what you preach and get the hell out of government you old windbag!</t>
  </si>
  <si>
    <t>RT @realDonaldTrump: MAGA! https://t.co/jFf5ONASlv</t>
  </si>
  <si>
    <t>RT @DFBHarvard: High Income Folks are Leaving Socialist California in Groves. 
You could say they're leaving in "Caravans".  They're going…</t>
  </si>
  <si>
    <t>#LiberalismIsAMentalDisorder https://t.co/9BuAMPzbBj</t>
  </si>
  <si>
    <t>RT @StephenMilIer: Did Dr. Ronny Jackson have a drinking problem? I don't know. But that would be the only explanation on how he worked for…</t>
  </si>
  <si>
    <t>RT @Bwroush: Love it https://t.co/7uzinQK4Hl</t>
  </si>
  <si>
    <t>RT @Pink_About_it: Liberals: 
-you're not allowed to assume someone's gender
- think Republican men are "angry white males" 
-kids can d…</t>
  </si>
  <si>
    <t>RT @alozras411: 💝✨Happy Birthday to our First Lady Melania! ✨💝
🌟Please Retweet🌟 If you agree she is the most stunning, graceful, intellige…</t>
  </si>
  <si>
    <t>RT @gr8tjude: Good morning Patriots 🇺🇸
Have a terrific Thursday my friends🙋
#GodBlessAmerica 🇺🇸🦅 https://t.co/7nkpH40Ju2</t>
  </si>
  <si>
    <t>RT @Jillibean557: Happy Birthday, Melania! 
You are beautiful, elegant, kind, and gracious. 
America Loves ❤️you! We are thankful and pro…</t>
  </si>
  <si>
    <t>RT @nzo11: Happy Birthday 
First Lady Melania 
Thank you for EVERYTHING that you do
You make Americans Proud
Continue to walk #Tall&amp;amp;Prou…</t>
  </si>
  <si>
    <t>RT @jenn_027: SHOUTOUT to the #FirstResponders who put themselves in harms way to serve their communities each &amp;amp; every day! 👊🏻
I salute yo…</t>
  </si>
  <si>
    <t>RT @Jamierodr10: GOOD MORNING PATRIOTS 🇺🇸🇺🇸.          This Morning I’m Praying For Amazing @FLOTUS 💕  ‘I’M WITH HER’  Thank you for always…</t>
  </si>
  <si>
    <t>RT @Golfinggary522: Happy Birthday @FLOTUS! You are full of class, style, grace, beauty and intellect. We are so blessed you are our #Flotu…</t>
  </si>
  <si>
    <t>Any Republican that defends Mueller should be investigated - usually they have some dirt on themselves i.e. Lindsey Graham John McCain... https://t.co/7taOmDTYOj</t>
  </si>
  <si>
    <t>RT @CHIZMAGA: This guy is such a hater, I can’t stand him! 👇🏻 
https://t.co/N5teX7bkYu</t>
  </si>
  <si>
    <t>RT @larryelder: OMG!!! @kanyewest and @chancetherapper just made a startling observation: “Blacks don’t have to be democrats”
#TheAwakening</t>
  </si>
  <si>
    <t>RT @LouisTabor3: There is a  paradigm shift taking place in our country. A radical, political correct mindset is being replaced with indepe…</t>
  </si>
  <si>
    <t>RT @MAGANinaJo: Happy Birthday to our beautiful @FLOTUS!  Wishing her a day filled with love and laughter! https://t.co/FGaleaMBOG</t>
  </si>
  <si>
    <t>🚨Why is #InsiderTraderMaxine not prosecuted yet https://t.co/rdajkDEL49</t>
  </si>
  <si>
    <t>RT @OliverMcGee: .@realDonaldTrump “James Comey is guilty of crimes”. Why yes, yes he is Mr. President.</t>
  </si>
  <si>
    <t>@hickorymtnman Blocked or not, your tweets about HoggShit will be RT through the rest of us - millions of tweeters - keep it going</t>
  </si>
  <si>
    <t>RT @hickorymtnman: I can dish it out 
But I can't take it https://t.co/PDmkkDKpgI</t>
  </si>
  <si>
    <t>RT @mike4882_h: Should @SenateMajLdr force 24/7 until ALL confirmations    are complete and the country can move on?
Send senate a message…</t>
  </si>
  <si>
    <t>RT @ScottPresler: Jon Tester may have just lost his Senate bid 6 months before Election Day. 
I look forward to helping defeat democrat Te…</t>
  </si>
  <si>
    <t>RT @_SierraWhiskee: We have Kanye. The left has the old, decrepit washed up Eminem. https://t.co/E8DwOGwrtk</t>
  </si>
  <si>
    <t>RT @1776Stonewall: Yahoo reports Trump had a "meltdown" of Fox &amp;amp; Friends this morning. lol - That's funny, because I watched it and I didn'…</t>
  </si>
  <si>
    <t>RT @samorim77: So bakers have no choice on who they serve due to customers sexual orientation. But a liberal bar owner can refuse to serve…</t>
  </si>
  <si>
    <t>RT @redpillrekt: Captioned: The very moment Kanye’s red pill kicked in.
#ThursdayThoughts
#maga https://t.co/4HMo4KCWME</t>
  </si>
  <si>
    <t>RT @ArizonaKayte: 🎂Happy Birthday #Melania🎂
🍃🌸🍃🌸🍃🌸🍃
Hoping you have a wonderful birthday celebration filled with family and friends. Than…</t>
  </si>
  <si>
    <t>RT @LisaSmith4680: Dear @FLOTUS First Lady Melania,
Your beauty,intelligence &amp;amp; smile outshines the sun!
NO one compares to you! 
American P…</t>
  </si>
  <si>
    <t>RT @GovMikeHuckabee: One reason Dems gave not to support Adm Jackson for VA Sec was lack of mgt experience.  God knows we wouldn't want som…</t>
  </si>
  <si>
    <t>RT @MilitaryEarth: Honoring Army Cpl. Benjamin H. Neal who selflessly sacrificed his life six years ago in Afghanistan for our great Countr…</t>
  </si>
  <si>
    <t>RT @drawandstrike: Fantatic investigative piece by @LeeSmithDC in which he details how Hillary Clinton &amp;amp; her operatives successfully launde…</t>
  </si>
  <si>
    <t>RT @PhilMcCrackin44: 💥A famous last name and inherited wealth doesn’t necessarily guarantee intelligence.
May I present to you exhibit A…</t>
  </si>
  <si>
    <t>RT @LauraLoomer: When people can’t kill your ideas and dreams, they assassinate your character.</t>
  </si>
  <si>
    <t>RT @buzzman888: ✨🌹✨ *Happy Birthday* @FLOTUS *Melania Trump* ✨🌹✨
#F-ashionable
#I -ntelligent
#R-adiant
#S-mile
#T-alented
✨🌹✨
#L-ove
#A-m…</t>
  </si>
  <si>
    <t>RT @HuevosDeChivo: @RealCandaceO Truth! https://t.co/4jWngcu0M3</t>
  </si>
  <si>
    <t>Not only Release the TextMessagesNOW, go straight over to handcuff them and transport to Gitmo NOW
#ReleaseTheTextMessagesNow  #MOAB https://t.co/9vZL5DBZDK</t>
  </si>
  <si>
    <t>RT @BackThePolice: PO Rogelio Santander of Dallas PD &amp;amp; Corporal Eugene Cole of Somerset County (ME) Sheriff's Office both died after being…</t>
  </si>
  <si>
    <t>RT @MICHELL59952525: 🇺🇸#WeThePeople Wish
A Very Happy &amp;amp; Blessed Birthday
To Our Best @FLOTUS
Mrs. Melania Trump
We #Respect You
We #love Yo…</t>
  </si>
  <si>
    <t>RT @BryonnyM: 💥🎁🎊🎉 HAPPY BIRTHDAY 🎈🎊🎁🛍
            🌹🌹🌹@FLOTUS 🌹🌹🌹
Stylish, Elegant, Graceful Lady!! We Love You ❤️🇺🇸 https://t.co/zfJDR1N…</t>
  </si>
  <si>
    <t>RT @RealCandaceO: The plantation supervisors are out in full force. 
They want their slaves back. https://t.co/8KbMBJRt3e</t>
  </si>
  <si>
    <t>RT @IvankaTrump: Admiral Ronny Jackson is a man of exceptional integrity, character and intellect. We are grateful for his long and disting…</t>
  </si>
  <si>
    <t>RT @TheRealHublife: Life is short, live fearlessly.
#ThursdayThoughts https://t.co/UgvPSLZMKp</t>
  </si>
  <si>
    <t>RT @JacobAWohl: JUST IN: U.S. weekly jobless claims fall to lowest level since 1969</t>
  </si>
  <si>
    <t>RT @Corp125Vet: Happy Birthday To our 🌹FLOTUS! 🌹We Love You! ✝️🙏🇺🇸Enjoy your Birthday! 🇺🇸SemperFi! 🇺🇸From Sea to Shining Sea! #AmericaFirst…</t>
  </si>
  <si>
    <t>RT @RyanAFournier: Happy birthday to our beautiful and wonderful @FLOTUS, Melania Trump! You are a great role model for millions of young g…</t>
  </si>
  <si>
    <t>RT @chuckwoolery: As impeachment stalls, Maxine Waters orders Trump to ‘just get out!’ https://t.co/Cvyss0KTPJ</t>
  </si>
  <si>
    <t>RT @BackTheCops: Rest in Peace, Rogelio Santander.
End of watch 04/25/18 
YOUR LIFE MATTERED! https://t.co/xOImV3hwKu</t>
  </si>
  <si>
    <t>Happy Birthday @FLOTUS 
Thank you for everything you do! https://t.co/J3HtwrmtRH</t>
  </si>
  <si>
    <t>RT @HotPokerPrinces: Bob Burns Will Not Be Resigning
He’s not a surrender monkey 🐒 
Deal with it !
We’ve had to deal with 
Hate speech &amp;amp;…</t>
  </si>
  <si>
    <t>RT @Norasmith1000: @YearOfZero Im still waiting for the Dem outrage at Gardner for misconduct, perjury censure by judge, maybe hiding Tisab…</t>
  </si>
  <si>
    <t>RT @magathemaga1: St. Louis also doesn’t need somebody who is anti cop like Bruce Franks JR or makes threats against the president like Nad…</t>
  </si>
  <si>
    <t>RT @magathemaga1: @shellgame57 until @brucefranksjr &amp;amp; Nadal step down Burns SHOULD NOT STEP DOWN
Hypocritical only calling 4 Burns resigna…</t>
  </si>
  <si>
    <t>RT @SenTedCruz: I urge the UK gov to grant the Evans family’s request to treat their precious child in Italy. Americans strive to achieve t…</t>
  </si>
  <si>
    <t>The horror of socialism! The system decides who lives and who is not worth of living. But royal babies are worshiped and the old lady gets transported in a carriage... Something gravely wrong with UK https://t.co/a4oFgMCyfk</t>
  </si>
  <si>
    <t>@NotoriousREV @russell_waldman @SenTedCruz Hey hold on, people that worship royals and their babies, consider themselves as 'commons' and are ok with that still live in mideaval era</t>
  </si>
  <si>
    <t>@sxdoc Wow! Another #BabyCharley case in UK. System decides 'common 23mo baby Alfie Evans' shall suffocate to death bc he isn't worth saving, not worth 2allow the parents 2take him 2Italy 2maybe save him. Police threatening the public from speaking out... worshiping royal babies – Sad</t>
  </si>
  <si>
    <t>@MaryBenoist @JaneDueker @EdBigCon @CStamper_ @Hope4Hopeless1 @RealTravisCook @stlcao @kimgardner77th @Shawtypepelina @VisioDeiFromLA Hm, Mary McDermott is that you?</t>
  </si>
  <si>
    <t>RT @RealJamesWoods: They are afraid of anyone who thinks for him/her self. Both sides are like this btw. Free thinkers are a threat to the…</t>
  </si>
  <si>
    <t>RT @DonaldJTrumpJr: Great American norms &amp;amp; traditions like taking hammers to iPhones, bleach bitting hard drives,and destroying 30,000 docu…</t>
  </si>
  <si>
    <t>RT @CollinRugg: Kanye hasn’t even said anything controversial. He is just saying he wants to have his own opinions/ thoughts and Dems are a…</t>
  </si>
  <si>
    <t>RT @charliekirk11: I am a proud Eagle Scout 
It is a national disgrace that girls are being allowed into the Boy Scouts</t>
  </si>
  <si>
    <t>RT @magathemaga1: Good evening 2 everybody but #MoLeg swamp who R trying to screw #Missouri voters over and undo an election. Adding lipsti…</t>
  </si>
  <si>
    <t>RT @RealCandaceO: You guys want my other predictions for the black revolution for free thought? 
1) Denzel Washington 
2) @iamcardib (been…</t>
  </si>
  <si>
    <t>RT @RealJack: Liberals: “KANYE IS MENTALLY ILL!”
Also liberals: “Let’s all go run around in full body vagina suits and hats to empower wom…</t>
  </si>
  <si>
    <t>RT @SebGorka: Taking the red pill. https://t.co/Br6pWuNCGR</t>
  </si>
  <si>
    <t>RT @the_real_LAFord: @Republican_Dan1 @sigi_hill If he was my son, I’d need some bail money. Liberals feel comfortable interfering with our…</t>
  </si>
  <si>
    <t>RT @SUPgrlCaroline: @LadyKnightFury @POTUS @realDonaldTrump ...in an act of blatant treason against the US, SENATOR BILL NELSON wrote an in…</t>
  </si>
  <si>
    <t>RT @SUPgrlCaroline: @LadyKnightFury @POTUS @realDonaldTrump 1. State Department approval sale of uranium one after bribery from Russian lob…</t>
  </si>
  <si>
    <t>RT @LadyKnightFury: ⚔️⚔️⚔️#TheTRUMPmemo #Leaked NOT #Stormy or #RussianCollusion 👇THIS IS WHY FBI RAIDED #MichaelCohen office! Is it the  #…</t>
  </si>
  <si>
    <t>RT @2christian: @POTUS @realDonaldTrump #Qanon8chan ALL PATRIOTS #WWG1WGA WHAT WE HAVE HERE IS THE SMOKING GUN OR THE MOAB OF ALL MOAB'S TH…</t>
  </si>
  <si>
    <t>RT @almostjingo: @greggutfeld @ananavarro @littlecarrotq @Avery1776 @PriscillasView @BasedBasterd @Cara_TXZEAL @TheJusticeDept LOL says the…</t>
  </si>
  <si>
    <t>RT @almostjingo: @greggutfeld @ananavarro @littlecarrotq @Avery1776 @PriscillasView @BasedBasterd @Cara_TXZEAL Here’s the link to all her f…</t>
  </si>
  <si>
    <t>RT @almostjingo: @greggutfeld Do you think @ananavarro ever loses sleep at night wondering if any of the people she personally signed up fo…</t>
  </si>
  <si>
    <t>RT @RealJack: Hannity is always on fire. 🔥
LOL: Stormy Daniels Lawyers Begs To Be On Hannity’s Show; Sean Knocks Him Out With Two-Tweet Co…</t>
  </si>
  <si>
    <t>Next out of control left'll accuse Kanye being drunk, abusive w office personnel, wrecking a government car, abusing drug prescriptions.. oh sorry-that was highly decorated Admiral Dr. Ronny Jackson after he diagnosed @POTUS as being in brilliant health... #Characterassassination https://t.co/6VCnHFXYmb</t>
  </si>
  <si>
    <t>RT @PatriotTamme: He STOOD IN HER WAY THE VERY MOST... WAS HE ON HER HIT LIST, too?
*if twit says deleted, go to my page to retweet https:/…</t>
  </si>
  <si>
    <t>RT @HotShot_78: #TrueMAGA〽️🦅
@POTUS 
@kanyewest =
#SuperTrumpTrain
#TrumpTrain2020 
#TrumpsArmy 🇺🇸 https://t.co/3oM6QZtg1J</t>
  </si>
  <si>
    <t>RT @bbusa617: BOYCOTT ALERT: Yeti Faces Backlash After Dumping NRA https://t.co/a17v6z3GmE
YETI DUMPING NRA ??  "WE" CONSERVATIVES "WERE"…</t>
  </si>
  <si>
    <t>RT @Sheckyi: 😂😂😂😂😂😂😂😂😂
BASKET OF INDICTABLES... https://t.co/LzkjAZSIg1</t>
  </si>
  <si>
    <t>RT @Trey_VonDinkis: https://t.co/BqNGzJprEf</t>
  </si>
  <si>
    <t>RT @President1Trump: #FreeThinkers 🔥🔥🔥@kanyewest &amp;amp; 🔥🔥@RealCandaceO 🔥🔥🔥 https://t.co/1TOZa1pcrk</t>
  </si>
  <si>
    <t>RT @Pickles0201: 🇺🇸 AMERICA 🇺🇸
It's our turn to do what we can to #ProtectOurConstitution
Please help to:
🔴 #MAGA
⚪ #MASA
🔵 #KAG
👉 Be su…</t>
  </si>
  <si>
    <t>RT @PaulLee85: The left is feeling it now with Kanye coming out. The MAGA movement is exactly about free thinking based on freedom in gener…</t>
  </si>
  <si>
    <t>RT @Skypilot195: @stacy_redvirgo @starcrosswolf @GartrellLinda @AppSame @DjLots3 @DonnaWR8 @KNP2BP @FriendlyJMC @bgood12345 @pinkk9lover @k…</t>
  </si>
  <si>
    <t>RT @ReneeCarrollAZ: #WednesdayWisdom 
#TinyLivesAtStake 🙏🙏
#DefundPlannedParenthood 
We don't want you to be poor, hungry or unwanted....…</t>
  </si>
  <si>
    <t>RT @atensnut: Shame on those trying to politicize this most painful event in my life.</t>
  </si>
  <si>
    <t>RT @CitizensMandate: First, @KanyeWest admits that he loves President @realDonaldTrump. Now, he’s defending freedom of thought, ideological…</t>
  </si>
  <si>
    <t>RT @RealSaavedra: .@GregPittman1957 allegedly attacks @KyleKashuv in his class at Stoneman Douglas, compares him to Hitler and said he is a…</t>
  </si>
  <si>
    <t>RT @Real_Gaz: We seem to focus so much on justice for the guilty;
Hillary Clinton
Andrew McCabe
Peter Strzoc
That sometimes we forget abo…</t>
  </si>
  <si>
    <t>RT @Republican_Dan1: This right here is BS! How can a teacher badger a minor like this. The authorities need to look into this ASAP! I thin…</t>
  </si>
  <si>
    <t>@hard_sheri @Karfrmthhrt @Monetti4Senate @MOHouseGOP @GOP @realDonaldTrump @GovGreitensMO #HawleyMUSTResign he has compromised himself and betrayed Missouri</t>
  </si>
  <si>
    <t>RT @RealTravisCook: If #Liberals and #Democrats are this spooked by #KanyeWest finally questioning the Liberal Orthodoxy on Black America (…</t>
  </si>
  <si>
    <t>Wow! Another #BabyCharley case in UK. System decides 'common 23mo baby Alfie Evans' shall suffocate to death bc he isn't worth saving, not worth 2allow the parents 2take him 2Italy 2maybe save him. Police threatening the public from speaking out... worshiping royal babies - Sad https://t.co/BUSSFANaEi</t>
  </si>
  <si>
    <t>RT @realTomShae: @RealCandaceO started a revolution https://t.co/nUQJuZ5MBi</t>
  </si>
  <si>
    <t>RT @KrisJenner: Nope...not true! https://t.co/2pQYQssy7B</t>
  </si>
  <si>
    <t>RT @Trey_VonDinkis: #LeftistTerrorism #LeftistSedition #Illegals #IslamicTerrorism
.
.
🏰AMERICANS FULLY in SUPPORT of TRAVEL BAN / VETTING…</t>
  </si>
  <si>
    <t>RT @Baby_Blue_2013: THANK YOU LOUIE GOHMERT! @replouiegohmert 
Congressman Louie Gohmert Just Absolutely Wrecked Robert Mueller With Epic…</t>
  </si>
  <si>
    <t>RT @tracybeanz: Pinch yourselves. https://t.co/0zacgDjyit</t>
  </si>
  <si>
    <t>RT @MasonBilly87: CNN producer, caught on camera: Russia-Trump ‘mostly bulls—’ https://t.co/wOn0dOIfiG</t>
  </si>
  <si>
    <t>RT @KyleKashuv: and that the school said he can't Tweet at me anymore, yet... he did. Oh well. Guess he is a vile moron.</t>
  </si>
  <si>
    <t>#SlimeBalls https://t.co/n2z5hbPrxD</t>
  </si>
  <si>
    <t>RT @magathemaga1: #Greitens pays tribute 2 fallen police officers at event today in St. Charles
His speech paid tribute 2 police killed in…</t>
  </si>
  <si>
    <t>RT @lawyerberlin: Wenn ein #linker Sponti und Ex-Steinewerfer wie Joschka #Fischer, Frau #Merkel in den Himmel lobt, dann ist das der beste…</t>
  </si>
  <si>
    <t>RT @IsraelUSAforevr: Amazing @kanyewest &amp;amp; president @realDonaldTrump
#MAGA https://t.co/0oCkrMUF6v</t>
  </si>
  <si>
    <t>RT @StefanMolyneux: To understand almost everything about the world, remember one simple principle: the more anti-rational the belief, the…</t>
  </si>
  <si>
    <t>RT @WhiteHouse: An inside look as President Trump hosted the Administration’s first State Visit: https://t.co/tySBiHUV2V https://t.co/vpAKE…</t>
  </si>
  <si>
    <t>RT @brunofranzR: https://t.co/Ct2j28hDOE</t>
  </si>
  <si>
    <t>RT @JudicialWatch: JW uncovered redacted records showing Obama's State Dept under then-Secretary John Kerry gathered &amp;amp; sent its own "dossie…</t>
  </si>
  <si>
    <t>RT @PoliticalShort: This tweet may cause Tom Arnold to spontaneously combust with rage. https://t.co/0W2mhzpmLT</t>
  </si>
  <si>
    <t>RT @kanyewest: my MAGA hat is signed 🔥🔥🔥🔥🔥🔥🔥🔥🔥🔥🔥🔥🔥🔥🔥🔥🔥🔥🔥🔥🔥🔥🔥🔥🔥🔥🔥🔥🔥🔥 https://t.co/DrDHJybS8V</t>
  </si>
  <si>
    <t>RT @CollinRugg: -Kanye wants to run for president
-Kanye “loves” Trump
-Kanye has a MAGA hat
-Kim Kardashian defended Kanye’s comments
-The…</t>
  </si>
  <si>
    <t>RT @Jali_Cat: Finally!!!! Kim stands up for @kanyewest against the idiots of the world!!! A man simply expressing his opinions doesn’t make…</t>
  </si>
  <si>
    <t>RT @Jali_Cat: When you have a multi million dollar clothing company and can make your own hats, but CHOOSE to wear this one. 
(Ps. @KimKar…</t>
  </si>
  <si>
    <t>RT @charliekirk11: The left hates the idea there are other ideas. Kim is spot on here https://t.co/kp2CvodJws</t>
  </si>
  <si>
    <t>RT @parscale: Coming soon to #SanAntonio: another mayor makes an epic political mistake that takes a possible 200MM from the community. Why…</t>
  </si>
  <si>
    <t>RT @DonaldJTrumpJr: #ImWithHer https://t.co/CoQVCJmbzH</t>
  </si>
  <si>
    <t>Our hard working @GovGreitensMO gets his job done for MO while #MoLeg and @AGJoshHawley are blocking &amp;amp; colluding with crooked #KimShady @stlcao @kimgardner77th in an illegitimate #Witchhunt
#IStandWGovGreitens
#MoGov #MOSen 
#HawleyResign https://t.co/1NvPMhp9Dx</t>
  </si>
  <si>
    <t>#CharacterAssassination of the Admiral https://t.co/HmkHDiLW9s</t>
  </si>
  <si>
    <t>RT @RealJack: LOL: President Trump And Kanye Set Twitter ON FIRE With Just Two Simple Tweets https://t.co/2TPClXOKpb</t>
  </si>
  <si>
    <t>RT @TomFitton: EXCLUSIVE: TheDCNF and @JudicialWatch File Lawsuit To Disclose Comey And Obama Meetings https://t.co/0hun4kvdn4 via @dailyca…</t>
  </si>
  <si>
    <t>Macron is a globalist and close ally to communist Angela Merkel and EU.
POTUS is playing excellent chess. https://t.co/PYhuRlGiql</t>
  </si>
  <si>
    <t>Too late Harry Reid... https://t.co/10UwMJKMN4</t>
  </si>
  <si>
    <t>RT @Pink_About_it: Crazy leftist Professor who celebrated the death of Barbara Bush has left the country 
.....hearing she's swimming with…</t>
  </si>
  <si>
    <t>RT @Education4Libs: A former Clinton aide cussed out the police in an attempt to get her daughter out of a traffic ticket, claiming she was…</t>
  </si>
  <si>
    <t>RT @seanhannity: WATCH: Trump Derangement Syndrome on FULL DISPLAY... https://t.co/4A0QnTUrdg</t>
  </si>
  <si>
    <t>RT @realDonaldTrump: Thank you Kanye, very cool! https://t.co/vRIC87M21X</t>
  </si>
  <si>
    <t>RT @ScottPresler: VICTORY: Congratulations to Congresswoman-Elect Debbie Lesko!
The race has already been called because of Lesko's big ea…</t>
  </si>
  <si>
    <t>RT @RealTravisCook: Uh oh! He got caught with Phil Sneed's payoff money!!! (Oh, wait...are we still supposed to pretend that we don't know…</t>
  </si>
  <si>
    <t>RT @KyleKashuv: BREAKING: school district said, "District staff and school administrators looked into this matter and following a review, d…</t>
  </si>
  <si>
    <t>#IStandWGovGreitens
#MoLeg #MoGov #MOSen #MoGOP #Greitens https://t.co/qBWpheFqZ9</t>
  </si>
  <si>
    <t>RT @sigi_hill: @JaneDueker U're #FakeLawyer, crooked @stlcao @kimgardner77th hasn't produced any evidence besides suborned perjury/cheating…</t>
  </si>
  <si>
    <t>@JaneDueker U're #FakeLawyer, crooked @stlcao @kimgardner77th hasn't produced any evidence besides suborned perjury/cheating loser accusers/'reciprocal ethical disciplined' $grab lawyer, ProsecutorialMalfeasance/hiding exculpatory evidence. W ea tweet U lie.</t>
  </si>
  <si>
    <t>U're #FakeLawyer, crooked @stlcao @kimgardner77th hasn't produced any evidence besides suborned perjury/cheating loser accusers/'reciprocal ethical disciplined' $grab lawyer, ProsecutorialMalfeasance/hiding exculpatory evidence. W ea tweet U lie. https://t.co/BXqKGiQPt2</t>
  </si>
  <si>
    <t>RT @sigi_hill: @JaneDueker Every failing lawyer goes in2 politics #Dirty &amp;amp; 2gather at least few votes sell themselves 2the devil. When expo…</t>
  </si>
  <si>
    <t>RT @sigi_hill: @JaneDueker Any common sense law-abiding person id's you as corrupting law instead of upholding it using character-assassina…</t>
  </si>
  <si>
    <t>@JaneDueker @EdBigCon @CStamper_ @Hope4Hopeless1 @RealTravisCook U're #FakeLawyer, crooked @stlcao @kimgardner77th hasn't produced any evidence besides suborned perjury/cheating loser accusers/'reciprocal ethical disciplined' $grab lawyer, ProsecutorialMalfeasance/hiding exculpatory evidence. W ea tweet U lie. @Shawtypepelina @VisioDeiFromLA</t>
  </si>
  <si>
    <t>@JaneDueker Every failing lawyer goes in2 politics #Dirty &amp;amp; 2gather at least few votes sell themselves 2the devil. When exposed attacks w bots/trolls/Russian. You have NO character that's why you try to destroy #Greitens #ClintonMobStyle 
@EdBigCon @CStamper_ @Hope4Hopeless1 @RealTravisCook</t>
  </si>
  <si>
    <t>@JaneDueker Any common sense law-abiding person id's you as corrupting law instead of upholding it using character-assassination 2destroy every oppo bc you can't exist on your own.  #Sleazeball like #AlWatkins #Comey #McCabe. Should we be aware of you being on the payroll of #ClairMcCaskill.</t>
  </si>
  <si>
    <t>RT @bocavista2016: I HAVE A FEELING
#KanyeWest won't be the only rapper making headlines here shortly...
Isn't that right #JayZ? 🤨
⏲️#Al…</t>
  </si>
  <si>
    <t>RT @MarkRocon: Obama was the first President in US history to spend more on Welfare than the Military.
https://t.co/LwcqDMdHpn</t>
  </si>
  <si>
    <t>RT @Jali_Cat: @FLOTUS Thank you for your kind, compassionate, caring and loving heart @FLOTUS @MELANIATRUMP 💝
We love and appreciate you.…</t>
  </si>
  <si>
    <t>RT @LouDobbs: #LDTPoll: Do you believe America’s allies and enemies are waking up to the fact President Trump's now the global leader setti…</t>
  </si>
  <si>
    <t>RT @AlanaKStewart: I applaud @kanyewest for supporting @RealCandaceO’s right to voice her opinions. And even if he loses a few loony libera…</t>
  </si>
  <si>
    <t>RT @veteranhank: Life lesson number one: "When you keep rewarding bad behavior, you keep getting bad behavior." These entitled illegals bel…</t>
  </si>
  <si>
    <t>RT @scroggstl: Stupidest and Dangerous thing I ever heard. Amazon starts delivering to your car trunk, wherever it's parked https://t.co/mQ…</t>
  </si>
  <si>
    <t>RT @RealJamesWoods: So you’re a person with a penis trying to impregnate a person with a vagina. It’s called sex, or “a couple of kids hump…</t>
  </si>
  <si>
    <t>RT @RealCandaceO: I WILL NOT ACCEPT THE NARRATIVE THAT BLACK PEOPLE ARE VICTIMS. 
VICTORS-ONLY CLUB.</t>
  </si>
  <si>
    <t>RT @LauraLoomer: Excited to announce that I will now be regularly contributing LIVE news reports on Fox News Radio beginning Friday!
Call…</t>
  </si>
  <si>
    <t>Why is #CarenZTurner, a Democratic lobbyist from Tenafly, not arrested for endangering the public with her outrages behavior and abuse of power!
#LiberalismIsAMentalDisorder https://t.co/PFj8ObMlcd</t>
  </si>
  <si>
    <t>RT @drawandstrike: "One person stands up and says, 'No I won't!'....and Rome begins to fear."</t>
  </si>
  <si>
    <t>RT @mitchellvii: YEP, THEY ARE SLOW WALKING THIS. THEY ALWAYS RELEASE EVENTUALLY - HUGE! BREAKING: DOJ to Release 'Missing' Strzok-Page Tex…</t>
  </si>
  <si>
    <t>🚨#MediaMob hyper-hallucinating @CNN @ABC @NBCNews @CBSNews @MSNBC @NPR @YahooNews @NYT @washingtonpost plus racketerring reporters #LosersPac  paparazzi lost your faculties?🐀 
REPUBLCICAN WIN ARIZONA!  
#CONGRATS @DebbieLesko  
#MAGA 🇺🇸 https://t.co/jfRxJ7Qbhc</t>
  </si>
  <si>
    <t>RT @Pink_About_it: Debbie Wasserman Schultz's brother overseeing the Awan brothers case 
Comey’s leaking "friend" admitted he had security…</t>
  </si>
  <si>
    <t>MISSOURIANS RIGHT 4 ANSWERS #WatkinSubpoena
@AGJoshHawley 
@Rep_TRichardson 
@jaybarnes5 
@Mikelkehoe 
@robschaaf
@RonFRichard
@DLHoskins
@elijahhaahr
@jeanielauer
@KevinLAustin1
@shawnrhoads154
@gcmitts
@TommiePierson
@staceynewman
@RepAnnWagner
#moleg #MoGov #MOSen #Greitens https://t.co/SCMAAEKEAQ</t>
  </si>
  <si>
    <t>🚨#MediaMob hyper-hallucinating @CNN @ABC @NBCNews @CBSNews @MSNBC @NPR @YahooNews @NYT @washingtonpost plus racketerring reporters #LosersPac  paparazzi lost your faculties?🐀
Where is your reporting on the REPUBLCICAN WIN IN ARIZONA! 
#CONGRATS @DebbieLesko 
#MAGA 🇺🇸 https://t.co/z0R6vzpHuy</t>
  </si>
  <si>
    <t>RT @RealJamesWoods: We pray for their survival. Can’t imagine anything so dangerous or challenging. Three very brave women! https://t.co/CX…</t>
  </si>
  <si>
    <t>@JoyAnnReid @MSNBC is a lying POS #LiberalismIsAMentalDisorder https://t.co/Ji3czZkF6J</t>
  </si>
  <si>
    <t>RT @wikileaks: Statement by Internet Archive: MSNBC host Joy Reid archives were not hacked https://t.co/8lvuuIiioJ https://t.co/YcS9trQV0o</t>
  </si>
  <si>
    <t>RT @buzzman888: 🇺🇸🇺🇸 *Americans* are #Proud to Call You Our @POTUS and @FLOTUS 🇺🇸🇺🇸
*Despite All The Obstructions You Face*
You Love Our…</t>
  </si>
  <si>
    <t>RT @VisioDeiFromLA: It’s not a witch hunt
It’s not a witch hunt
It’s not a witch hunt
It’s not a witch hunt
It’s not a witch hunt
It’s not…</t>
  </si>
  <si>
    <t>RT @RealCandaceO: The bigotry of low expectations has been seeded into the conciousness of blacks, sold to us by the extreme left. 
Over th…</t>
  </si>
  <si>
    <t>RT @realDonaldTrump: Looking forward to my meeting with Tim Cook of Apple. We will be talking about many things, including how the U.S. has…</t>
  </si>
  <si>
    <t>RT @realDonaldTrump: .@FLOTUS did a spectacular job hosting the President of France @EmmanuelMacron and his wife Brigitte. Every detail was…</t>
  </si>
  <si>
    <t>RT @realDonaldTrump: Congratulations to Republican Debbie Lesko on her big win in the Special Election for Arizona House seat. Debbie will…</t>
  </si>
  <si>
    <t>RT @realDonaldTrump: Busy day planned.  Looking forward to watching President Macron of France address a Joint Session of Congress today. T…</t>
  </si>
  <si>
    <t>RT @gal_deplorable: Pakistani 'Mystery Man' Now in Possession of Docs Wasserman Schultz Wanted Suppressed
#QAnon https://t.co/gc4FUJdqan</t>
  </si>
  <si>
    <t>RT @txlady706: @gal_deplorable #awan https://t.co/CtXPVT92Wa</t>
  </si>
  <si>
    <t>RT @TomFitton: Comey illegally took &amp;amp; leaked FBI documents to get a Special Counsel appointed to target @RealDonaldTrump. @JudicialWatch is…</t>
  </si>
  <si>
    <t>RT @AlternativeNRW: Ein JA (Junge Alternative)-Mitglied musste am Wochenende leider hautnah erfahren, was Linksextremisten unter "Toleranz"…</t>
  </si>
  <si>
    <t>RT @magathemaga1: @StevenDialTV @EricGreitens @41actionnews #MoneyBagsAl 
#Greitens 
#moleg
#CORRUPTION https://t.co/ZseKcfWzWt</t>
  </si>
  <si>
    <t>RT @StevenDialTV: Mystery money has gained the attention of Special House Committee investigating  @EricGreitens. 
Al Watkins received a su…</t>
  </si>
  <si>
    <t>RT @RealTravisCook: $100,000 to try and bring down a Governor...I'd be shocked if this isn't Soros money. #greitens #moleg https://t.co/h1J…</t>
  </si>
  <si>
    <t>RT @mitchellvii: 3 FISA Court judges will be questioned regarding their participation in the continued re-approval of FISA warrants issued…</t>
  </si>
  <si>
    <t>RT @buzzman888: ✨🌹✨@FLOTUS *First Lady Melania Trump Steals The Show* ✨🌹✨
Sooooo. All You High Profile (Chic) Magazines, Tell Me Again Why…</t>
  </si>
  <si>
    <t>RT @Sticknstones4: @jrosenbaum If somebody left 2 bags of cash with no note at my office via anonymous courier.. yeah I’d say that was some…</t>
  </si>
  <si>
    <t>RT @sigi_hill: @jrosenbaum @EricGreitens Al Watkins is a sleaz-bag democRAT DC swamp lawyer, the same low level as Stormy's lawyer, he was…</t>
  </si>
  <si>
    <t>@jrosenbaum @EricGreitens Al Watkins is a sleaz-bag democRAT DC swamp lawyer, the same low level as Stormy's lawyer, he was reciprocal ethical discipline, bad reviews! https://t.co/VZXZhvm3Id</t>
  </si>
  <si>
    <t>Straitjacket for @Acosta https://t.co/PR5lDnY1nm</t>
  </si>
  <si>
    <t>RT @WayneDupreeShow: #realtalk #dupree https://t.co/KZmtjKafUs</t>
  </si>
  <si>
    <t>RT @ScottPresler: We won a seat in New York that the democrats should have easily won. 
If we can win in New York, we can win anywhere! Co…</t>
  </si>
  <si>
    <t>RT @DeplorableGoldn: Rut roh! #Qanon https://t.co/ZMTqiH3L8x</t>
  </si>
  <si>
    <t>@winwithTrump45 @NoRinosNoDems @donnabrazile @USATODAY They are psychopathic liars without any feelings, dangerous mafia mob criminals and should be behind bars. Hopefully soon. #CriminalReference</t>
  </si>
  <si>
    <t>RT @DeplorableGoldn: Starting to make a lot more sense! #moleg #mogov #KimShady https://t.co/j8hm1ZteUU</t>
  </si>
  <si>
    <t>RT @Sticknstones4: Why would the chairman of the house investigative committee ignore this salacious information ? 
Did he get any random…</t>
  </si>
  <si>
    <t>@JaneDueker @achambersgop @JaneDueker did you win your law-license in a lottery somewhere in Kenya? Obviously you have not heard of Due Process and Prosecutorial Malfeasance and obviously belong to the sleazy kind of lawyers. #FakeLawyer</t>
  </si>
  <si>
    <t>RT @guypbenson: Parkland survivor interrogated by law enforcement over the entirely lawful, ordinary and unexceptional exercise of his cons…</t>
  </si>
  <si>
    <t>RT @SykesforSenate: We're saving money on bumper stickers, but we still need donations. If you believe in the America First movement like I…</t>
  </si>
  <si>
    <t>RT @SykesforSenate: A clever man once wrote, "Afoot and light-hearted I take to the open road, Healthy, free, the world before me, 
The lon…</t>
  </si>
  <si>
    <t>RT @SykesforSenate: If you haven't heard from me in a while it's because I'm campaigning out here in God's country.  
.@realDonaldTrump le…</t>
  </si>
  <si>
    <t>RT @SykesforSenate: Support is pouring in. God is blessing us. #MOSen #MAGA #codeofvets https://t.co/7UdmzEznAS</t>
  </si>
  <si>
    <t>RT @T_S_P_O_O_K_Y: Looking forward to @JohnBrennan doing a @Comey style speaking tour to explain all of this:
https://t.co/zTdRXtUaaN</t>
  </si>
  <si>
    <t>RT @kanyewest: I love the way Candace Owens thinks</t>
  </si>
  <si>
    <t>RT @DonaldJTrumpJr: Now do Bernie... https://t.co/b03C3hPwuk</t>
  </si>
  <si>
    <t>RT @IvankaTrump: “Ever since General Lafayette joined the American fight for independence, our fates and fortunes have been tied unequivoca…</t>
  </si>
  <si>
    <t>RT @Trump: Can you spot @TrumpVancouver? The twisting tower stands at 616 feet and 69 stories, transforming the city's skyline as one of th…</t>
  </si>
  <si>
    <t>Our beautiful brilliant @FLOTUS bringing dignity again to the WH! 
America is Proud! https://t.co/nMA34YftTW</t>
  </si>
  <si>
    <t>That's why the #MediaMob is not invited to the state dinner, boy they must hate that, Obama lavished with 400+ - on taxpayers pocket these hogs pigged out
Except for a few selected, no DemocRATs and NO #FakeNewsMedia at the state dinner tonight. Good job Mr. President! https://t.co/gDLEFQVGw1</t>
  </si>
  <si>
    <t>RT @EmmanuelMacron: France-USA https://t.co/sBloQi9j82</t>
  </si>
  <si>
    <t>@jonkarl You only qualify to report of whores, your press corp credentials should be revoked 🐀</t>
  </si>
  <si>
    <t>@jonkarl Damn paparazzi mob, worthless brainless idiot, embarrassment for America. How dare you harass our President in front of foreign dignity.
Why don't you report on the criminal references of the Obama admins and Killary. Bc they pay you!🐀
#BanABDfromWHPressCorp</t>
  </si>
  <si>
    <t>The obscene paparazzi Jon Karl, embarrassment for America, how dare this rat harass our President in front of foreign dignities.
#BanABCfromWHPresscorp https://t.co/gDLEFQVGw1</t>
  </si>
  <si>
    <t>@marykbruce Drama-queen scum paparazzi Mary Bruce, vile low-life beast is now shamelessly trying to slander and ruin the next man's life because he destroyed your fantasies of @POTUS, but when he was ConmanObama's doc he was ok. You can't carry even water for this Admiral.</t>
  </si>
  <si>
    <t>@kimhoag @RealTravisCook @KyleKashuv Kim, Everybody involved in a car accident has PTS 4a while,,we call it 'gun-shy', the best 2get over that is 2get behind the wheel asap. Snowflakes like you only see kids on tv that're incited by the left 2cry about gun control. That's not PTSD that's brainwashing/staging 4cause</t>
  </si>
  <si>
    <t>RT @Larrypolya22: Liberals are the dumbest people on the planet and they literally believe every word of the radical left wing enemy owned…</t>
  </si>
  <si>
    <t>RT @RealJack: BREAKING: 6 months of “missing texts” between Strzok &amp;amp; Page are likely going to be released to Congress in the next day. 
On…</t>
  </si>
  <si>
    <t>RT @SuperDriver318: Former CIA Officer Exposes Clinton Charity Fraud As Biggest Scandal In US History https://t.co/1QmS00Bx9j</t>
  </si>
  <si>
    <t>RT @TomFitton: Bears Repeating: "Sessions Should Unrecuse Himself and Clean House" https://t.co/xfBotduJsO</t>
  </si>
  <si>
    <t>RT @IsraelUSAforevr: Amazing @FLOTUS https://t.co/mzepmdySJN</t>
  </si>
  <si>
    <t>@ConnieMessina @MichaelAvenatti @seanhannity Who wants to hear a pervert crooked lawyer and his whore</t>
  </si>
  <si>
    <t>RT @realDonaldTrump: Our two great republics are linked together by the timeless bonds of history, culture, and destiny. We are people who…</t>
  </si>
  <si>
    <t>RT @realDonaldTrump: Today, @FLOTUS Melania and I were honored to welcome French President @EmmanuelMacron and Mrs. Brigitte Macron to the…</t>
  </si>
  <si>
    <t>RT @realDonaldTrump: “President Trump Calls the U.S.-France Relationship ‘Unbreakable.’ History Shows He’s Right.” https://t.co/L0gT4rvaJO</t>
  </si>
  <si>
    <t>RT @realDonaldTrump: Arizona, please get out today and vote @DebbieLesko for Congress in #AZ08. Strong on Border, Immigration and Crime. Gr…</t>
  </si>
  <si>
    <t>RT @realDonaldTrump: Americans stand with you and all of Canada, Prime Minister @JustinTrudeau. Our thoughts and prayers are with you all.…</t>
  </si>
  <si>
    <t>RT @realDonaldTrump: Having great meetings and discussions with my friend, President @EmmanuelMacron of France. We are in the midst of meet…</t>
  </si>
  <si>
    <t>RT @NiteMare817: Did anyone else get this?? https://t.co/Y3HGsGfRFw</t>
  </si>
  <si>
    <t>RT @GOPChairwoman: Democrats need to put the safety and security of our nation first and confirm Mike Pompeo as our next Secretary of State…</t>
  </si>
  <si>
    <t>RT @StephenMilIer: CNN teamed up with the Deep State to spread conspiracy theories about Donald Trump peeing on Russian hookers, how are th…</t>
  </si>
  <si>
    <t>RT @magathemaga1: @RealTravisCook #StLouis #Greitens #Missouri #MoneyBagsAl #KimShady #stl https://t.co/gfEjswuzHA</t>
  </si>
  <si>
    <t>RT @1776Stonewall: The acid washed Hillary Clinton emails might still exist. I would love to get my hands on those. And if you think they a…</t>
  </si>
  <si>
    <t>RT @VisioDeiFromLA: Great commentary on the #GreitensIndictment 
Make sure to follow @RealTravisCook 
Then retweet 
Then listen to his p…</t>
  </si>
  <si>
    <t>RT @realDonaldTrump: .@JimRenacci has worked so hard on Tax Reductions, Illegal Immigration, the Border and Crime. I need Jim very badly to…</t>
  </si>
  <si>
    <t>RT @IvankaTrump: To all of our amazing US military spouses, your courage often goes unnoticed, but that makes it all the more heroic. You a…</t>
  </si>
  <si>
    <t>RT @bobhelps: @RealTravisCook @sigi_hill Not much difference between a lawyer and a prostitute except the cost</t>
  </si>
  <si>
    <t>RT @RealTravisCook: Will be on https://t.co/LqVNagt9Kx in 10 minutes discussing the entire #GreitensIndictment in all it's sordid goodness…</t>
  </si>
  <si>
    <t>RT @RealTravisCook: Oh yes...he's definitely a big part of what I'm talking about at 2:00 CST on https://t.co/LqVNagt9Kx! https://t.co/yxX1…</t>
  </si>
  <si>
    <t>RT @Avenge_mypeople: @Sticknstones4 @RealTravisCook We don't have a gun problem, we've got a Democrat problem. https://t.co/eZRwNYLjPi</t>
  </si>
  <si>
    <t>RT @RealTravisCook: Turns out the #Antioch shooter had been arrested and released by #SecretService.  Sorry, Libs, he wasn't one of ours!…</t>
  </si>
  <si>
    <t>RT @NikkiGoeser: I’ve witnessed carnage myself Mr. Obama. However, after witnessing my stalker gun down my husband, I didn’t blame guns. I…</t>
  </si>
  <si>
    <t>RT @ScottPresler: Historically, the party in power LOSES seats in the House during midterm elections. 
If you want to change history -- an…</t>
  </si>
  <si>
    <t>RT @RealTravisCook: Doesn't it seem strange that Phil Sneed seems more angry with the guy who slept with his ex-wife than with the ex-wife…</t>
  </si>
  <si>
    <t>RT @RealTravisCook: One thing you've got to give #Greitens credit for:  Even with the specter of this 
Witchhunt/trial/impeachment hanging…</t>
  </si>
  <si>
    <t>@Avenge_mypeople @RealTravisCook @HawleyMO #HAWLEY rode into MO on the tailwind of #Greitens in 2016
Now HAWLEY backstabs the 'swamp-cleaning #Greitens' to collude with the swamp
HAWLEY has NO AGENDA to defeat ClairMcCaskill just rhetoric 
#HawleyResign
@SykesforSenate conservative Courtland Sykes</t>
  </si>
  <si>
    <t>RT @RealTravisCook: How can we be assured that #JoshHawley will stand up for President #Trump in the Senate when he won't even stand behind…</t>
  </si>
  <si>
    <t>RT @RealTravisCook: How can we trust #JoshHawley to stand strong for the #Trump agenda in the Senate if he falls so easily for political #W…</t>
  </si>
  <si>
    <t>RT @mitchellvii: The greatest mistake you can ever make speaking with a Liberal is to assume that mere logic plays any part in their though…</t>
  </si>
  <si>
    <t>RT @RealTravisCook: You can't turn a ho into a housewife...or, it turns out, a credible accuser, either! https://t.co/YMCuekuNcE</t>
  </si>
  <si>
    <t>RT @RealTravisCook: Bingo.  We couldn't care less about "tradition", "statesmanship", or the "tradition" of the GOP.  We realize that Ameri…</t>
  </si>
  <si>
    <t>RT @RealTravisCook: Glad I'm backing @SykesforSenate https://t.co/tbsLpcjMfZ</t>
  </si>
  <si>
    <t>RT @RealTravisCook: The only thing more untrustworthy than a lawyer is a lawyer for a prostitute! https://t.co/5ZbcHV2Hxv</t>
  </si>
  <si>
    <t>@RealTravisCook @SykesforSenate In spite PROSECUTORIAL MALFEASANCE, Perjuries @StLouisCityCA #KimGardner can't find anything, her &amp;amp; @AGJoshHawley collud to manufacture claims of 'computer tampering' ?
#AGJoshHawleyMUSTResign
#ProsecuteStLCAKimGardner #DisbarStLCAKimGardner4Life
#moleg #MoGov #MOSen #MOGOP</t>
  </si>
  <si>
    <t>RT @RealTravisCook: Just because Phil &amp;amp; Katrina Sneed couldn't keep their marriage together...why should the rest of Missouri have to suffe…</t>
  </si>
  <si>
    <t>RT @RealTravisCook: And it's the people in St. Louis city who are paying because their prosecuting attorney is dedicating her time and reso…</t>
  </si>
  <si>
    <t>@Joe_Cool_1 @gibmot @RealTravisCook @Sticknstones4 @HereLiesMoon @1057thePoint @RizzShow The cheating low-life failing musician/DJ 2x ex-hubby brags about fathering more or less 9 kids, owes apparently alimonies so he shops a secretly recorded confrontation w/his also cheating ex-wife to find his most profitable treasure target #Greitens
#MoLeg #WitchHunt https://t.co/4askBcKuur</t>
  </si>
  <si>
    <t>RT @RealTravisCook: To paraphrase a rather fous trial from back in the day : "If there's no pic...then you must acquit!" #GreitensIndictmen…</t>
  </si>
  <si>
    <t>@RealTravisCook We don't need the deranged paparazzi, here are the pics of the cheating low-life 2x ex-hubby, brags to've fathered 9 kids, supposedly owes alemonies, and his hussy hairdresser w/reputation of sleeping w/lots of high profile politicians - looks like both are golddiggers https://t.co/0vGJJ5DGSp</t>
  </si>
  <si>
    <t>RT @gatewaypundit: CNN's ACOSTA: Americans Are Too Dumb To See Through President Trump's "Act", They “Don’t Have All Their Faculties.” http…</t>
  </si>
  <si>
    <t>RT @ElderLansing: Kanye West made heads roll when he said he likes the way that outspoken black conservative Candace Owens thinks and now h…</t>
  </si>
  <si>
    <t>@Acosta vile low class propaganda paparazzi, embarrassment 4 America, lucky that you are running free in USA - Venezuela would've thrown your ass in the dungeon already
#CNNIsTerrorism https://t.co/rYY2Hz8Z5l</t>
  </si>
  <si>
    <t>RT @PatriotsUnite1: One of my favorite quotes from our President!! @realDonaldTrump #MAGA #Qanon #WWG1WGA https://t.co/ncIKkV5bLb</t>
  </si>
  <si>
    <t>#RodRosenstein4Prosecution https://t.co/0nTzhrtrf4</t>
  </si>
  <si>
    <t>RT @johncardillo: Dershowitz wants #Mueller investigated for protecting Whitey Bulger. 
Remember, Mueller imprisoned four innocent people…</t>
  </si>
  <si>
    <t>RT @magathemaga1: @Sticknstones4 #MoneyBagsAl https://t.co/CL4VBnCJ8K</t>
  </si>
  <si>
    <t>RT @RealTravisCook: @dakooney What "victims" are there in this case other than #Greitens and his family? Kitty Sneed, cheated on her husban…</t>
  </si>
  <si>
    <t>RT @GovMikeHuckabee: YETI coolers decides it doesn’t want NRA members business. So they think Antifa and gun haters were their customers?…</t>
  </si>
  <si>
    <t>SUSPICIOUS
Demanding answers #moleg #mogov #MOSen @AGJoshHawley https://t.co/93R85GyRR1</t>
  </si>
  <si>
    <t>RT @mike_pence: PROUD to support our friend @VoteMarsha for US Senate representing Tennessee. Marsha Blackburn is a rock-ribbed conservativ…</t>
  </si>
  <si>
    <t>RT @mitchellvii: Gallup, which has had pretty much the WORST approval ratings for Trump, also now claims that Republicans are getting no be…</t>
  </si>
  <si>
    <t>RT @mitchellvii: Gallup, the purveyors of Trump's worst approval ratings, now claim approval of the Trump tax cuts is underwater by 13 poin…</t>
  </si>
  <si>
    <t>RT @mitchellvii: So Gallup, more than half of America wants HIGHER TAXES?  You guys must have gotten into some of that free pot because you…</t>
  </si>
  <si>
    <t>RT @mitchellvii: You know it's actually funny.  For all the talk of Trump firing Mueller, there is one person in DC who has NEVER said Trum…</t>
  </si>
  <si>
    <t>RT @TaxReformExpert: Here are 4 exemptions you can use now to avoid Obama care taxes.  https://t.co/bnVywk2mm0</t>
  </si>
  <si>
    <t>RT @TaxReformExpert: I am an expert is wealth preservation through tax reduction.  Follow my feed for amazing tips on how everyone can pay…</t>
  </si>
  <si>
    <t>@SykesforSenate @SykesforSenate conservative Courtland Sykes
#IStandWGovGreitens
SUSPICIOUS: #AlWatkins corrupt 'reciprocal ethical disciplined' atty in DC,
2x cheating ex-hub owes alimonies - fathered 9 kids- yet spends $15K &amp;amp; now has a trust account w.Watkins who receiv. secretly $100K
#MoLeg https://t.co/pZb0UsKw6W</t>
  </si>
  <si>
    <t>RT @SykesforSenate: I wonder if the money was laundered through #MoLeg Republican party leadership... https://t.co/uwutOy1VMa</t>
  </si>
  <si>
    <t>@Hope4Hopeless1 @ScottCharton @EricGreitens @GovGreitensMO In particular educated Missourians see through corrupt paparazzi #FakeNews propaganda colluders like APReporter @ScottCharton. 
#MoLeg #Greitens #Witchhunt</t>
  </si>
  <si>
    <t>RT @seanhannity: Great article by @realJeffreyLord https://t.co/l5S9eJKbdi</t>
  </si>
  <si>
    <t>@HawleyMO @AGJoshHawley #HAWLEY rode into MO on the tailwind of #Greitens in 2016
Now HAWLEY backstabs 'swamp-cleaning Gov. #Greitens' to collude with the swamp
HAWLEY has NO AGENDA to defeat ClairMcCaskill just rhetoric 
#HawleyResign
@SykesforSenate conservative Courtland Sykes</t>
  </si>
  <si>
    <t>@HawleyMO @AGJoshHawley #Resign
Colluding w/corrupt StLCA PROSECUTORIAL MALFEASANCE 
NOT defend PRESUMPTION OF INNOCENCE &amp;amp;DUE PROCESS
False #MoLeg 1sided perjured statements'fake investigative committee'
MO in trouble
NO AGENDA - NO VOTE 4 HAWLEY
#mogov #MOSen #MOGOP
#IStandWGovGreitens</t>
  </si>
  <si>
    <t>SUSPICIOUS: These 'PuritanApostles' want to use "moral turpitude" against the Governor? Time to unravel the "moral turpitude" of each of these  #MoLeg #MoGov #MOSen #MOGOP 
This reporter seams to know something about these crooked politicians
https://t.co/jjECvNsTwh</t>
  </si>
  <si>
    <t>QUESTION:
ARE #MoLeg s THE WIFE-CHEATERS POT-SMOKERS THAT SENATOR CHAPPELLE-NADAL WAS TALKING ABOUT 2017? 
HAS ANY OF THEM HAD SEX W 'KITTY SNEED' AKA 'K.S.'/CHEATING HAIRDRESSER?
WHY INDICTING #Greitens WITHOUT COURT VERDICT?
SOUNDS LIKE A  COVER-UP FOR #MoGov #MOSen</t>
  </si>
  <si>
    <t>Breach DUE PROCESS, LYING to Missourians 
MUST RESIGN
@AGJoshHawley 
@Rep_TRichardson 
@jaybarnes5 
@Mikelkehoe 
@robschaaf
@RonFRichard
@DLHoskins
@elijahhaahr
@jeanielauer
@KevinLAustin1
@shawnrhoads154
@gcmitts
@TommiePierson
@staceynewman
@RepAnnWagner
#moleg #MoGov #MOSen</t>
  </si>
  <si>
    <t>Where's outrage a/t suborned perjury b/cheating accusers/'reciprocal ethical disciplined' $grab lawyer, ProsecutorialMalfeasance/hiding exculpatory evidence corrupt StLCA Kim Gardner
#MoLeg #MoGov #MOSen #Greitens
@FoxNews @seanhannity @TuckerCarlson @rushlimbaugh @marklevinshow https://t.co/fNITPpm4CC</t>
  </si>
  <si>
    <t>RT @JenNongel: “People are mocking Ivanka Trump for wearing a pantsuit” was a lead Yahoo “news” story Sunday morning and the press can’t fi…</t>
  </si>
  <si>
    <t>RT @realDonaldTrump: Here’s a great stat - since January 2017, the number of people forced to use food stamps is down 1.9 million. The Amer…</t>
  </si>
  <si>
    <t>RT @giacoknox: @peterjhasson @RealCandaceO @TomArnold Hey @TomArnold get back to work.  The toilets in accounting have overflowed again.  I…</t>
  </si>
  <si>
    <t>RT @RealtorVSmith: @peterjhasson @RealCandaceO @TomArnold Wow, Mr. Arnold is a real pig!</t>
  </si>
  <si>
    <t>RT @peterjhasson: Update: Tom apologized after (it seems) he got in trouble with his wife https://t.co/nGfRYW1TNg</t>
  </si>
  <si>
    <t>RT @peterjhasson: Regardless of whether or not you agree with @RealCandaceO, everyone can agree that this is a disgusting way to treat a wo…</t>
  </si>
  <si>
    <t>@hotfunkytown #GreitensIndictment =extortion like #FakeTrumpDossier  
#AlWatkins a corrupt 'reciprocal ethical disciplined' atty repres. cheating 2x-ex-hubby's that owes alimony- he fathered 9 kids- but he spends $15K &amp;amp; now has a trust account w.Watkins who receiv. secretly $100K
#MoLeg https://t.co/MabZGbQCip</t>
  </si>
  <si>
    <t>RT @EricGreitens: Fantastic weekend in Hickory and Texas counties talking about the conservative reforms we’ve fought for, the results we’v…</t>
  </si>
  <si>
    <t>RT @smart_hillbilly: @TheAmadisKay @EricGreitens He deserves a day in court. Do you people even know what do process is! #StayStrongGreitens</t>
  </si>
  <si>
    <t>RT @magathemaga1: @TeamGreitens #MoneyBagsAl and #KimShady https://t.co/TyFjNtdiKx</t>
  </si>
  <si>
    <t>RT @melody_grover: For those of you declaring KS credible, what is the standard? She has never been cross-examined, her testimony never com…</t>
  </si>
  <si>
    <t>RT @DeplorableGoldn: RT-ing 🚨
For those of you declaring KS credible, what is the standard? She has never been cross-examined, her testimon…</t>
  </si>
  <si>
    <t>RT @VisioDeiFromLA: Hey Marshal its innocent until proven guilty 
Why dont you do some real journalism and ask about #MoneyBagsAl and #Kim…</t>
  </si>
  <si>
    <t>RT @RealTravisCook: Oh snap! As the kids would say, "Shit's about to get real, dawg!" (Do kids still say that???) #greitens https://t.co/qK…</t>
  </si>
  <si>
    <t>How about from McCaskill or DNC, https://t.co/JHBzSJoGAt</t>
  </si>
  <si>
    <t>@magathemaga1 Donna forgot she wrote the book about how they rigged the election
https://t.co/AXxK6RHYKk</t>
  </si>
  <si>
    <t>RT @sigi_hill: @donnabrazile @USATODAY Really Donna, did you forget your wrote this book describing the rigged election by DNC and Killary…</t>
  </si>
  <si>
    <t>@donnabrazile @USATODAY Really Donna, did you forget your wrote this book describing the rigged election by DNC and Killary
#LiberalismIsAMentalDisease  https://t.co/AXxK6RHYKk</t>
  </si>
  <si>
    <t>RT @DeplorableGoldn: Sh!t just got real! 
⚠️ Text Message Alert ⚠️
💣BREAKING: Eric Greitens’ alleged mistress, along with her ex-husband,…</t>
  </si>
  <si>
    <t>RT @DeplorableGoldn: RT-ING 🚨👇
Listen 2 #MoneyBagsAl Explanation of getting 100 K payment from mystery man!
Same guy represents ex husband…</t>
  </si>
  <si>
    <t>RT @DeplorableGoldn: RT-ing 🚨
KS testified in deposition she was nude on FaceTime with EG. KS testified to House she never allowed nudes of…</t>
  </si>
  <si>
    <t>RT @AAron49609630: @ChrisDavisMMJ KimGardner needs to be removed from office. Clearly not competent to hold the position. Just what we need…</t>
  </si>
  <si>
    <t>RT @VisioDeiFromLA: @ChrisDavisMMJ #moleg #mogov #nonotestiasby #KimShady 
Heres the break down Chris https://t.co/ZgJsJoNRKq</t>
  </si>
  <si>
    <t>@Avenge_mypeople @mursemichaelrn @ChrisDavisMMJ Don't underestimate that StL is democRAT and the home town of Clare McCaskill. This whole scam stinks to high heaven and is too similar to the fake Trump dossier</t>
  </si>
  <si>
    <t>RT @Hope4Hopeless1: @ChrisDavisMMJ https://t.co/RHWHMjOkci</t>
  </si>
  <si>
    <t>@norris_bernie @ChrisDavisMMJ Shouldn't we investigate how Clare McCaskill is involved with this? 🤔</t>
  </si>
  <si>
    <t>RT @sigi_hill: @ChrisDavisMMJ @AGJoshHawley @stlca @Rep_TRichardson @jaybarnes5 @Mikelkehoe @robschaaf @RonFRichard @DLHoskins @elijahhaahr…</t>
  </si>
  <si>
    <t>RT @sigi_hill: @ChrisDavisMMJ @AGJoshHawley @stlca SUSPICIOUS: House investigative committee @Rep_TRichardson 
@jaybarnes5 
@Mikelkehoe 
@r…</t>
  </si>
  <si>
    <t>RT @sigi_hill: @ChrisDavisMMJ SUSPICIOUS: @AGJoshHawley colludes with Soros-paid, BLM-supporter, DemocRAT @StLCA #KimGardner who lied to th…</t>
  </si>
  <si>
    <t>RT @sigi_hill: @ChrisDavisMMJ SUSPICIOUS: "Rep. Jay Barnes, R-Jefferson City, who is leading the House investigation, declined to comment o…</t>
  </si>
  <si>
    <t>RT @sigi_hill: @ChrisDavisMMJ #GreitensIndictment =extortion like #FakeTrumpDossier  
#AlWatkins a corrupt 'reciprocal ethical disciplined'…</t>
  </si>
  <si>
    <t>@ChrisDavisMMJ @AGJoshHawley @stlca @Rep_TRichardson @jaybarnes5 @Mikelkehoe @robschaaf @RonFRichard @DLHoskins @elijahhaahr @jeanielauer @KevinLAustin1 @shawnrhoads154 @gcmitts @TommiePierson @staceynewman @POTUS What a team to throw over a duly elected conservative outsider Governor for cash and vendetta
#KimShady Democrat St. Louis Circuit Atty, on a vendetta
#AlWatkins 'Reciprocal Ethical Censured' Democrat lawyer
#PhillipTaylorSneed scorned cheating 2x ex-husband
#moleg #MOSen #MoGov https://t.co/VWo4dcXd4z</t>
  </si>
  <si>
    <t>@ChrisDavisMMJ @AGJoshHawley @stlca @Rep_TRichardson @jaybarnes5 @Mikelkehoe @robschaaf @RonFRichard @DLHoskins @elijahhaahr @jeanielauer @KevinLAustin1 @shawnrhoads154 @gcmitts @TommiePierson @staceynewman @POTUS Anybody ignoring the consequences of this vile heinous attempt by the #JeffCitySwamp 2impeach 'uncomfortable outsider' w/bogus claims via PROSECUTORIAL MALFEASANCE could B th next victim.We R a country w/law &amp;amp;order &amp;amp; best constitution.Not guarding means WE LOSE OUR rights/freedom</t>
  </si>
  <si>
    <t>@ChrisDavisMMJ @AGJoshHawley @stlca @Rep_TRichardson @jaybarnes5 @Mikelkehoe @robschaaf @RonFRichard @DLHoskins @elijahhaahr @jeanielauer @KevinLAustin1 @shawnrhoads154 @gcmitts @TommiePierson @staceynewman @POTUS Scam of an indictment https://t.co/dl8wFHoAk8 
What kind of sham-attorney agrees with PROSECUTORIAL MALFEASANCE and the 'court of opinion' instead of upholding DUE PROCESS
#AGJoshHawleyMUSTResign
#ProsecuteStLCAKimGardner #DisbarStLCAKimGardner4Life
#moleg #MoGov #MOSen #MOGOP</t>
  </si>
  <si>
    <t>@ChrisDavisMMJ @AGJoshHawley @stlca @Rep_TRichardson @jaybarnes5 @Mikelkehoe @robschaaf @RonFRichard @DLHoskins @elijahhaahr @jeanielauer @KevinLAustin1 @shawnrhoads154 @gcmitts @TommiePierson @staceynewman @POTUS SUSPICIOUS: These 'PuritanApostles' want to use "moral turpitude" against the Governor? Time to unravel the "moral turpitude" of each of these  #MoLeg #MoGov #MOSen #MOGOP 
This reporter seams to know something about these crooked politicians
https://t.co/jjECvNsTwh</t>
  </si>
  <si>
    <t>@ChrisDavisMMJ @AGJoshHawley @stlca @Rep_TRichardson @jaybarnes5 @Mikelkehoe @robschaaf @RonFRichard @DLHoskins @elijahhaahr @jeanielauer @KevinLAustin1 @shawnrhoads154 @gcmitts @TommiePierson @staceynewman @POTUS QUESTION:
ARE #MoLeg s THE WIFE-CHEATERS POT-SMOKERS THAT CHAPPELLE-NADAL WAS TALKING ABOUT? 
HAS ANY OF THEM HAD SEX W 'KITTY SNEED' AKA 'K.S.'/CHEATING HAIRDRESSER?
WHY INDICTING #Greitens WITHOUT COURT VERDICT?
SOUNDS LIKE A  COVER-UP FOR #MoLeg #MoGov #MOSen</t>
  </si>
  <si>
    <t>@ChrisDavisMMJ @AGJoshHawley @stlca @Rep_TRichardson @jaybarnes5 @Mikelkehoe @robschaaf @RonFRichard @DLHoskins @elijahhaahr @jeanielauer @KevinLAustin1 @shawnrhoads154 @gcmitts @TommiePierson @staceynewman 2017 the #PuritanMoLeg couldn't fire seditious Sen. Chappelle-Nadal for her death-threat to @POTUS “I’m not resigning,” she said. “Legislators cheat on their wives or smoke marijuana and are not asked to resign. I’m not resigning over a simple mistake.”
https://t.co/0vRLf0kMi6</t>
  </si>
  <si>
    <t>@ChrisDavisMMJ @AGJoshHawley @stlca SUSPICIOUS: House investigative committee @Rep_TRichardson 
@jaybarnes5 
@Mikelkehoe 
@robschaaf
@RonFRichard
@DLHoskins
@elijahhaahr
@jeanielauer
@KevinLAustin1
@shawnrhoads154
@gcmitts
@TommiePierson
@staceynewman
base their 'report' only on hussy hairdresser &amp;amp; cheating 2x-ex</t>
  </si>
  <si>
    <t>@ChrisDavisMMJ SUSPICIOUS: @AGJoshHawley colludes with Soros-paid, BLM-supporter, DemocRAT @StLCA #KimGardner who lied to the court to get the indictment committing PROSECUTORIAL MALFEASANCE - obvious vendetta for Michael Brown,</t>
  </si>
  <si>
    <t>@ChrisDavisMMJ SUSPICIOUS: "Rep. Jay Barnes, R-Jefferson City, who is leading the House investigation, declined to comment or even listen to a question about Watkins' payment."</t>
  </si>
  <si>
    <t>@ChrisDavisMMJ #GreitensIndictment =extortion like #FakeTrumpDossier  
#AlWatkins a corrupt 'reciprocal ethical disciplined' atty repres. 2x-ex-hubby's whoring around that owes alimony- he fathered 9 kids- but he spends $15K &amp;amp; now has a trust account w.Watkins who receiv. secretly $100K
#MoLeg https://t.co/3j0vmhKuRW</t>
  </si>
  <si>
    <t>RT @Avenge_mypeople: "A #moleg investigation found credible." Ha ha ha. No cross examination, one sided and began trying to find ways to fi…</t>
  </si>
  <si>
    <t>@Sticknstones4 #PropagandaPushers are getting desperate to attack private citizens - they don't like 1A - they think lying is 1A</t>
  </si>
  <si>
    <t>RT @Sticknstones4: 🚨breaking non news of irrelevancy 
Any reporter that states my account is a paid greitens bot is Fake News 
#fakenews…</t>
  </si>
  <si>
    <t>RT @RealTravisCook: Same here--i'm a Missouri citizen (and voter), and I, too, am distressed about this #WitchHunt against the Governor wit…</t>
  </si>
  <si>
    <t>RT @magathemaga1: @NewsTribune @EricGreitens Really they should be
#KimShady
#NoNotesTiasby 
#moleg 
#mogov
#stl
#StLouis 
#greitens https…</t>
  </si>
  <si>
    <t>RT @magathemaga1: Unproven allegations are just that.
If you don't want people to call this a witch hunt, why are you engaging in witch hu…</t>
  </si>
  <si>
    <t>RT @VisioDeiFromLA: @rxpatrick So it's an affair? Thanks for confirming what I have been saying for the last 3 months. A consensual affair.…</t>
  </si>
  <si>
    <t>RT @VisioDeiFromLA: @Glic @Beganovic_85 @JW1057 @rxpatrick Another 1 of those #ParsonBots doing Putin's bidding by not supporting due proce…</t>
  </si>
  <si>
    <t>RT @HotPokerPrinces: @RonFRichard 
Stop playing political games with the lives of Missouri voters
We did not elect you to play, we electe…</t>
  </si>
  <si>
    <t>@JoeBReporter #GreitensIndictment =extortion like #FakeTrumpDossier  
#AlWatkins a corrupt 'reciprocal ethical disciplined' atty repres. 2x-ex-hubby's whoring around that owes alimony- he fathered 9 kids- but he spends $15K &amp;amp; now has a trust account w.Watkins who receiv. secretly $100K
#MoLeg https://t.co/y9cHryWL31</t>
  </si>
  <si>
    <t>RT @sigi_hill: @JW1057 @stlca @kimgardner77th Dirty #AlWatkins Dirty #KimShady Dirty #MoLeg
NOT uphold.DUE PROCESS LYING 2MO MUST RESIGN
@A…</t>
  </si>
  <si>
    <t>@JW1057 @stlca @kimgardner77th Dirty #AlWatkins Dirty #KimShady Dirty #MoLeg
NOT uphold.DUE PROCESS LYING 2MO MUST RESIGN
@AGJoshHawley 
@Rep_TRichardson 
@jaybarnes5 
@Mikelkehoe 
@robschaaf
@RonFRichard
@DLHoskins
@elijahhaahr
@jeanielauer
@KevinLAustin1
@shawnrhoads154
@gcmitts
@TommiePierson
@staceynewman</t>
  </si>
  <si>
    <t>RT @JW1057: Good news! St. Louis Taxpayers, it appears you are paying Al Watkins to continue this farce. 
#moleg #mogov #greitens #KimShad…</t>
  </si>
  <si>
    <t>RT @sigi_hill: @JW1057 Are #MOLegislatorsSwamp using a scam-lawyer and scam-StLCA to oust our duly elected conservative Governor that is cl…</t>
  </si>
  <si>
    <t>RT @sigi_hill: @JW1057 RT
#AlWatkinsIsACrookedLawyer Gold-digger-ass
https://t.co/cZ8EJwPYNx Reciprocal - Censure issued in DC, 2005
update…</t>
  </si>
  <si>
    <t>@JW1057 Are #MOLegislatorsSwamp using a scam-lawyer and scam-StLCA to oust our duly elected conservative Governor that is cleaning out their corruptions? 
A crook like #AlWatkins should be disbarred for life just like #KimShady @StLCA @kimgardner77th 
#MoLeg #MoGov #MOSen #MOGOP</t>
  </si>
  <si>
    <t>@JW1057 RT
#AlWatkinsIsACrookedLawyer Gold-digger-ass
https://t.co/cZ8EJwPYNx Reciprocal - Censure issued in DC, 2005
updated on Jan 6, 2013
This means that the attorney's misconduct in another state, or jurisdiction, also violated the rules for practicing law in District of Columbia Bar https://t.co/xorlFXl7c8</t>
  </si>
  <si>
    <t>RT @larryelder: The 2 young black men admit that #Starbucks store policy requires a buy before customers can use the restroom. They admit t…</t>
  </si>
  <si>
    <t>RT @Education4Libs: Net worth BEFORE holding public office....
The Obamas — $3 Million
The Clintons — $500,000
The Trumps — $4.5 Billion…</t>
  </si>
  <si>
    <t>RT @PersistenceTee: Bongino insisted that it was the Clinton campaign that colluded with the Russians because of the funding of the Steele…</t>
  </si>
  <si>
    <t>RT @seanhannity: Time for some truth:
https://t.co/2kfcIyOIR4</t>
  </si>
  <si>
    <t>RT @TyEducatingLibs: Today’s Lefty Hypocrite:
Al Gore!
This slave master’s Nashville estate uses 21x (that’s right, TWENTY ONE) more ener…</t>
  </si>
  <si>
    <t>RT @realDonaldTrump: Mexico, whose laws on immigration are very tough, must stop people from going through Mexico and into the U.S. We may…</t>
  </si>
  <si>
    <t>RT @realDonaldTrump: Despite the Democrat inspired laws on Sanctuary Cities and the Border being so bad and one sided, I have instructed th…</t>
  </si>
  <si>
    <t>RT @realDonaldTrump: Hard to believe Obstructionists May vote against Mike Pompeo for Secretary of State. The Dems will not approve hundred…</t>
  </si>
  <si>
    <t>RT @realDonaldTrump: Thank you to the incredible Law Enforcement Officers from the Palm Beach County Sheriff’s Office. They keep us safe an…</t>
  </si>
  <si>
    <t>RT @realDonaldTrump: Kim Strassel of the WSJ just said, after reviewing the dumb Comey Memos, “you got to ask, what was the purpose of the…</t>
  </si>
  <si>
    <t>RT @realDonaldTrump: Funny how all of the Pundits that couldn’t come close to making a deal on North Korea are now all over the place telli…</t>
  </si>
  <si>
    <t>RT @realDonaldTrump: A complete Witch Hunt!</t>
  </si>
  <si>
    <t>RT @realDonaldTrump: “I can die happy now with Trump Job performance,” stated Mary Matalin. “A great overall President, stunning!” Thank yo…</t>
  </si>
  <si>
    <t>RT @realDonaldTrump: ....We are a long way from conclusion on North Korea, maybe things will work out, and maybe they won’t - only time wil…</t>
  </si>
  <si>
    <t>RT @realDonaldTrump: Sleepy Eyes Chuck Todd of Fake News NBC just stated that we have given up so much in our negotiations with North Korea…</t>
  </si>
  <si>
    <t>RT @realDonaldTrump: “GOP Lawmakers asking Sessions to Investigate Comey and Hillary Clinton.” @FoxNews   Good luck with that request!</t>
  </si>
  <si>
    <t>RT @realDonaldTrump: “At least two Memos Comey shared with a friend contained Classified Information.”  Wall Street Journal</t>
  </si>
  <si>
    <t>RT @dmartosko: The same can be said of the "collusion" stuff. https://t.co/xMCVuH3OTs</t>
  </si>
  <si>
    <t>RT @CoreyLMJones: Whatever liberals have accused Trump of doing, they have done tenfold.
-They’re the ones that rigged an election
-They’r…</t>
  </si>
  <si>
    <t>RT @PoliticalShort: Long time associates of Hillary Clinton including Sidney Blumenthal and Cody Shearer were actively giving info to the S…</t>
  </si>
  <si>
    <t>RT @realDonaldTrump: James Comey’s Memos are Classified, I did not Declassify them. They belong to our Government! Therefore, he broke the…</t>
  </si>
  <si>
    <t>RT @realDonaldTrump: So funny, the Democrats have sued the Republicans for Winning. Now he R’s counter and force them to turn over a treasu…</t>
  </si>
  <si>
    <t>RT @realDonaldTrump: The Washington Post said I refer to Jeff Sessions as “Mr. Magoo” and Rod Rosenstein as “Mr. Peepers.” This is “accordi…</t>
  </si>
  <si>
    <t>RT @polishprincessh: Obama really is having a hard time handling the fact that he is out of office &amp;amp; no longer relevant. Doesn't realize ho…</t>
  </si>
  <si>
    <t>RT @AnnaApp91838450: https://t.co/dRQFBgKlVi
🚨TOP BRASS AT DOJ/ FBI CIA ALL CORRUPT INVOLVED IN TRYING TO TAKE OUT PRESIDENT TRUMP &amp;amp; UNDO W…</t>
  </si>
  <si>
    <t>RT @Patriotic_Va: Fresno professor says Farmers are Trump supporters &amp;amp; F*cking stupid...she would be kinder to farmers if they grew Little…</t>
  </si>
  <si>
    <t>RT @kimUSAStrong: 💥BREAKING!💥
Nunes Sunday interview with @MariaBartiromo concludes they’ve obtained original "intel" that started the FBI…</t>
  </si>
  <si>
    <t>RT @RealJamesWoods: For the record I believe in this person’s “free speech” rights in general, and particularly cherish her as the fund rai…</t>
  </si>
  <si>
    <t>RT @dbongino: If this illegitimate, destructive, Mueller witch-hunt is allowed to take down a duly elected President then, make no mistake,…</t>
  </si>
  <si>
    <t>RT @TyEducatingLibs: On Friday an 11 year old boy was hit by a car &amp;amp; killed in El Paso during another anti-gun school walkout.
Those teach…</t>
  </si>
  <si>
    <t>RT @Sticknstones4: @magathemaga1 @RonFRichard @EricGreitens @Rep_TRichardson @Eric_Schmitt @MOHouseGOP @JohnLamping @MissouriGOP @Lautergei…</t>
  </si>
  <si>
    <t>RT @magathemaga1: 🚨 Attack on Missouri! 🚨 
@RonFRichard decided he would rather be petty &amp;amp; attack Missouri voters than work with @EricGrei…</t>
  </si>
  <si>
    <t>The lawsuit claims there was a vast conspiracy to prevent her from winning the election.Tom Perez:"..when you have interference in elections. We’ve been winning elections. We know how to walk and chew gum."
#LiberalismIsAMentalDisorder https://t.co/YFUi30vCoL</t>
  </si>
  <si>
    <t>Backing my @POTUS  💯 
❤️Forever thankful brilliant @realDonaldTrump has the love for America to #MAGA
🌎Trump's genius leadership will make also the world a better place 
THANK YOU MR. PRESIDENT 👍 https://t.co/RJe5j9vz3x</t>
  </si>
  <si>
    <t>RT @CoreyLMJones: The irony is that within the memos that Comey leaked to the press, he writes:
“I don’t do sneaky things. I don’t leak.”…</t>
  </si>
  <si>
    <t>RT @RealCandaceO: Make no mistake. I will fall on the sword a thousand times over for the black community to wake up to what is going on.…</t>
  </si>
  <si>
    <t>RT @ScottPresler: MASSIVE BREAKING NEWS: The San Diego County Board of Supervisors voted 3-1 to join the federal lawsuit against California…</t>
  </si>
  <si>
    <t>RT @RealJamesWoods: Can anyone imagine the group orgasm the liberal media would have had, if this amazing proclamation had been made by Oba…</t>
  </si>
  <si>
    <t>RT @wikileaks: @TheDemocrats We're counter suing you for fun -- and also because you're lame. "Voters! WikiLeaks took away our right to lie…</t>
  </si>
  <si>
    <t>RT @RealJamesWoods: So much fun. Why are #Democrats so pathetic? https://t.co/TI4nnGktrV</t>
  </si>
  <si>
    <t>RT @larryelder: The Philadelphia Police Commish, who is black, said his cops did nothing wrong. Apologized anyway. #Starbucks CEO says stor…</t>
  </si>
  <si>
    <t>RT @Thomas1774Paine: WikiLeaks fires back at Democrat lawsuit – and they want to take action: ‘discovery is going to be amazing fun’ https:…</t>
  </si>
  <si>
    <t>RT @100PercFEDUP: BLACK Conservative HUMILIATES Black Lives Matter Activists Who Try To... https://t.co/rAJLIHU1FS</t>
  </si>
  <si>
    <t>RT @Kimbraov1: The Southern Poverty Law Center is Finally Being Held Accountable https://t.co/UvKBTIna2i</t>
  </si>
  <si>
    <t>RT @RealJack: The media was awfully quiet about this one recently...
BOMBSHELL: Website Owned By Hillary Donors Seized By FBI https://t.co…</t>
  </si>
  <si>
    <t>@Acosta @maggieNYT must be banned from Press Corp for the Trump/Kim meeting https://t.co/4Ba8Mao3Si</t>
  </si>
  <si>
    <t>RT @BackThePolice: 💙🇺🇸 https://t.co/5laLHs4lzp</t>
  </si>
  <si>
    <t>RT @ArizonaKayte: OMG,  Can you BLAME him?  The #Dems &amp;amp; #MSM give me indigestion and I don't have to listen to them whine or answer their d…</t>
  </si>
  <si>
    <t>RT @FoxNews: .@JudgeJeanine: "Jim, it's so obvious; you're fired and you're mad. You're a liar and you're a leaker. You're pompous, you're…</t>
  </si>
  <si>
    <t>RT @JacobAWohl: Remember this name: E.W. "Bill" Priestap — He was central to starting up the "collusion" hoax. More about him will come out…</t>
  </si>
  <si>
    <t>RT @drawandstrike: https://t.co/VdmUqcADuD</t>
  </si>
  <si>
    <t>RT @ReneeCarrollAZ: Our beautiful .@FLOTUS shines as a bright light, sitting amongst those in darkness! 
"Let your light so shine before m…</t>
  </si>
  <si>
    <t>RT @mitchellvii: I vote that we strip Obama's Nobel Peace Prize and give it directly to President Trump! #NorthKorea https://t.co/for1YubkER</t>
  </si>
  <si>
    <t>RT @kwilli1046: #California is so screwed up that they would rather make selling the Bible illegal, stop #Trump from building the wall, but…</t>
  </si>
  <si>
    <t>RT @DallasIrey: #Trumpville is growing!  We are expanding our reach.  We are rolling out a #FaceBook page to spread our message!  
Please F…</t>
  </si>
  <si>
    <t>RT @Thomas1774Paine: Alec Baldwin, Jimmy Kimmel, Amy Schumer Launch Star-Studded Initiative to Take Down the NRA https://t.co/AkuHpR6mt8</t>
  </si>
  <si>
    <t>RT @Lrihendry: Democrats plan to run for office promising to raise your taxes, take your guns, open borders and impeach our president. STOP…</t>
  </si>
  <si>
    <t>RT @chuckwoolery: Guess Who Was CNN DOJ Reporter When Comey Told Trump He Was Being Pressured by CNN about Dossier? https://t.co/RoACQSy0zR…</t>
  </si>
  <si>
    <t>RT @MilitaryEarth: Drop a like https://t.co/SfbL8V7oyc</t>
  </si>
  <si>
    <t>RT @GrizzleMeister: To all those individuals trashing our men &amp;amp;women in blue 4actively patrolling neighborhoods &amp;amp;doing a job they were swor…</t>
  </si>
  <si>
    <t>RT @Education4Libs: *Correction
Pompeo graduated from Harvard, not Yale.</t>
  </si>
  <si>
    <t>RT @1776Stonewall: Charlie Kirk is being shadow banned too - they're really being aggressive lately with that https://t.co/OxokleqGKs</t>
  </si>
  <si>
    <t>RT @Monetti4Senate: Roger that. Our Governor has earned the right to Due Process. Shame on those that seek to deny him his constitutional r…</t>
  </si>
  <si>
    <t>RT @DineshDSouza: Too bad we can’t see @Starbucks CEO Kevin Johnson from behind so we could all take notice of the KICK ME sign on his rear…</t>
  </si>
  <si>
    <t>RT @drawandstrike: Since I'm getting a lot of flak from some people for making/posting this meme, here's my response: 
You have to look at…</t>
  </si>
  <si>
    <t>RT @kwilli1046: RETWEET - If you are part of the 83% of Americans who say Government "SHOULD NOT" Give Benefits to Illegal Aliens.</t>
  </si>
  <si>
    <t>RT @JacobAWohl: Reminder: Obama was just as much of a white President as he was a black President https://t.co/8OzyFdyCaG</t>
  </si>
  <si>
    <t>RT @LarrySchweikart: On this date in 1836, Sam Houston led the Texican army to victory over the dictator Santa Anna at the Battle of San Ja…</t>
  </si>
  <si>
    <t>RT @Thomas1774Paine: I’m With Her: James Comey Admits He Thinks Country Would ‘Probably’ Be Better Off With Hillary https://t.co/DYQPo8dxAe</t>
  </si>
  <si>
    <t>RT @thebradfordfile: @realDonaldTrump  https://t.co/35e8hYoAD8</t>
  </si>
  <si>
    <t>RT @junogsp5: Most touching story of day 
Deaf Partially Blind 17 year old dog stayed w 3 yr old girl overnight after she wandered away fro…</t>
  </si>
  <si>
    <t>RT @polishprincessh: States where no voter ID is required are the same states that supports voter fraud.
If I had a dollar every time a de…</t>
  </si>
  <si>
    <t>RT @PoliticalShort: Comey’s description of his use of an FBI computer to create these memos, which he then leaked, should be looked as thef…</t>
  </si>
  <si>
    <t>RT @AndrewCMcCarthy: In McCabe Tempest, Leaking and Lying Obscure the Real Collusion - my weekend @NRO column: https://t.co/E83Te7soY9</t>
  </si>
  <si>
    <t>RT @EricNicoaus: @sarah_grossman How many people has the NRA killed today? 0 per day since inception. How many people died today texting wh…</t>
  </si>
  <si>
    <t>RT @SiddonsDan: Hillary’s latest tantrum? “Trump is racist!” And the rest of us just groan.
Are we watching "The NeverEnding Story," 2018 e…</t>
  </si>
  <si>
    <t>RT @TheLastRefuge2: Well this doesn't bode well for NAFTA. The truth is Mexican consumers don't want more EU foodstuffs, but rather the EU…</t>
  </si>
  <si>
    <t>RT @Thomas1774Paine: KA CHING! RNC Raises Record $13.8 Million In March https://t.co/4UGjG8Hx7L</t>
  </si>
  <si>
    <t>RT @JudicialWatch: Dozens of House Democrats waived the background checks on their House I.T. aides (the Awan Brothers). JW warned for mont…</t>
  </si>
  <si>
    <t>RT @AnnaApp91838450: https://t.co/N1WcifNllj
KAMALA GIVE THE PEOPLE A DAM BREAK💥DID YOU TAKE LESSONS FROM CORRUPT
HILLARY🎯YOUR A LOUD MOUTH…</t>
  </si>
  <si>
    <t>RT @JacobAWohl: Democrats act as if the Second Amendment was invented by Republicans. 
When the founding fathers wrote the Second Amendmen…</t>
  </si>
  <si>
    <t>RT @JDugudichi: Follow all these amazing patriots for a follow back
@JDugudichi
@InSurfCity
@BordersUSA
@TrumpFanNevada
@willisforwv
@brcha…</t>
  </si>
  <si>
    <t>RT @JDugudichi: Follow all these patriots
@JDugudichi
@CarolynCorneli8
@HH_kathy
@alpha1dawg
@gatheringstorm7
@RedNationRising
@RNRKentucky…</t>
  </si>
  <si>
    <t>RT @JDugudichi: Follow all these patriots for a follow back all
@JDugudichi
@Indiana4theWin
@trumpgirl
@theRealReinaD
@RobertBradleyJ2
@cot…</t>
  </si>
  <si>
    <t>RT @JDugudichi: Follow all these great patriots for a follow back all
@JDugudichi
@GenFlynn
@david_d1421
@brad99999999
@sallyalexande17
@Ar…</t>
  </si>
  <si>
    <t>RT @JDugudichi: Follow all patriots on #MAGA follow train
@JDugudichi
@CdLutetia
@bmbrbob
@FOR_TRUMP_2016
@LindaClendennen
@sherryblanchar6…</t>
  </si>
  <si>
    <t>RT @JDugudichi: These amazing patriots follow back all deplorables
@JDugudichi
@UberDick
@theflash__8
@jenn_027
@TruthMaga
@EjHirschberger…</t>
  </si>
  <si>
    <t>RT @JDugudichi: Follow back all these patriots
@JDugudichi
@Wfw21147
@Im_bonafide
@mshelto3
@reda2448
@BigAgenda100
@Portland_jet
@kathypur…</t>
  </si>
  <si>
    <t>RT @JDugudichi: Follow all these adorable deplorable for a follow back
@JDugudichi
@Rightwingmadman
@girl4_trump
@busylizzie48
@joesmomlove…</t>
  </si>
  <si>
    <t>RT @JDugudichi: Follow back all these adorable deplorables
@JDugudichi
@mikeo159
@wfeldhaus
@Lulu463647322
@AZAnnaB1
@leighgoodison 
@Tooti…</t>
  </si>
  <si>
    <t>RT @JDugudichi: Follow back all these amazing patriots
@JDugudichi
@trumpdeplorable
@MAGATrump_1
@MAGATRUMP
@DonaldMAGATrump
@Patrici768927…</t>
  </si>
  <si>
    <t>RT @JDugudichi: Follow back all these patriots for a follow back
@JDugudichi
@LeeLore2
@Trumpboy24
@pamela12931446 
@pennysmagic1 
@mayalat…</t>
  </si>
  <si>
    <t>RT @girl4_trump: No shit Buckwheat! We regret #Obama's entire Presidency so... That's what you get for basing it on skin color. #Nobel is w…</t>
  </si>
  <si>
    <t>RT @DanielKnightPL: God bless you Anthony! A true American hero!! https://t.co/Zei83GuXHV</t>
  </si>
  <si>
    <t>RT @girl4_trump: Dumber than he looks. Someone explain what #ConflictofInterest is to this dunderhead. #ChuckTodd #MSM #FakeNews 
https://t…</t>
  </si>
  <si>
    <t>RT @Stump_for_Trump: The moment Shadey James Comey stepped off FBI property with the memos after being fired, he committed a crime (1 of ma…</t>
  </si>
  <si>
    <t>What kind of sham-attorney agrees with PROSECUTORIAL MALFEASANCE and the 'court of opinion' instead of upholding DUE PROCESS
#AGJoshHawleyMUSTResign
#ProsecuteStLCAKimGardner #DisbarStLCAKimGardner4Life
#moleg #MoGov #MOSen #MOGOP https://t.co/0wotJjbAGP</t>
  </si>
  <si>
    <t>RT @hrkbenowen: Retweet to congratulate Mark Levin on being nominated for the National Radio Hall of Fame.
@marklevinshow https://t.co/Vc3…</t>
  </si>
  <si>
    <t>RT @CoreyLMJones: TIME Magazine’s ‘top 100 influential people of 2018’ includes people like Maxine Waters, David Hogg, Trevor Noah, Jimmy K…</t>
  </si>
  <si>
    <t>RT @TrumpTrainMRA4: 🎉🎊🎈WooHoo🎈🎊🎉 🦁TRUMP🦁🏁RALLY🏁
🚂TrumpTrain🚞MakingAmericaGreatAgain🇺🇸💨💨💨
Thank You @POTUS Trump @realDonaldTrump 
💥🥊Keeping…</t>
  </si>
  <si>
    <t>RT @AMike4761: Hillary Clinton: An Unborn Child Just Hours Before Delivery Has No Constitutional Rights!  Glad she’s NOT President?…</t>
  </si>
  <si>
    <t>RT @TheRISEofROD: Beverly Hills Antifa made this video, highlighting the futile Liberal "Resistance"😂
Everyone follow👇
@BevHillsAntifa7
h…</t>
  </si>
  <si>
    <t>RT @PaulLee85: Ah, Khan’s wonderland is just going to get that much more exciting for Londoners during summer, it seems! It looks like the…</t>
  </si>
  <si>
    <t>RT @CollinRugg: 2 black guys loitering at Starbucks got more attention than the 2 cops that got ambushed in Florida for doing NOTHING.
Sad…</t>
  </si>
  <si>
    <t>RT @girl4_trump: I have never seen a more pathetic, desperate, even sad loser as @HillaryClinton. She will keep the #Russian BS 💩 going to…</t>
  </si>
  <si>
    <t>Why is #RandaJarrarPIG still teaching - fire her and deport her back where she comes from https://t.co/GfusKKS2Ja</t>
  </si>
  <si>
    <t>RT @jenn_027: I’m not sure why she’s blasting farmers, she looks well fed 🤷🏼‍♀️
#AmericanFarmers
#LiberalismIsAMentalDisorder 
#Whodoyouth…</t>
  </si>
  <si>
    <t>RT @1776Stonewall: This liberal says that Nobody requires government handouts. Isn't that something? So all these food stamps we hand out a…</t>
  </si>
  <si>
    <t>@ABC Wow ABC your are really going out of your way to report in length about this enormous progress that only  @realDonaldTrump achieved. ONLY @POTUS ACHIEVES REAL PEACE. Can't separate yourself from whore Stormy #MediaWhores</t>
  </si>
  <si>
    <t>@annmariepoli @ABC @POTUS You are sick. Y don't U move 2 Kim's paradise 2 either elect to starve with his people or be beaten to death 🤬Only brilliant @realDonaldTrump is achieving anything with NK while your traitors ConmanObamba and ClintonMafia provided rocketman w/uranium  #LiberalLunatics</t>
  </si>
  <si>
    <t>@ABC Hey ABC paparazzi, if you can lift your faces off whores and bashing Trump team why don't you start 'journo research' and report on the Obama abuse of taxpayers funds in the billions i.e. https://t.co/zOx4MdCYgU</t>
  </si>
  <si>
    <t>Where is @FBI and @SecretService
Where is the uproar of the moral apostles of 
#MoLeg #MoGov #MOSen #MOGOP 
MUST RESIGN
@AGJoshHawley 
@Rep_TRichardson 
@jaybarnes5 
@Mikelkehoe 
@robschaaf
@RonFRichard
@DLHoskins
@elijahhaahr https://t.co/f3ei77bf3e</t>
  </si>
  <si>
    <t>@Str8DonLemon @GailBeatty @clairecmc @ws_missouri @EdBigCon @philip_saulter @Sticknstones4 @MOHouseGOP @Rep_TRichardson @JackSuntrup @strmsptr Where is @FBI and @SecretService</t>
  </si>
  <si>
    <t>@Str8DonLemon @GailBeatty @clairecmc @ws_missouri @EdBigCon @philip_saulter @Sticknstones4 @MOHouseGOP @Rep_TRichardson @JackSuntrup @strmsptr Bar this ass from any public position along with Maria Chappelle-Nadal</t>
  </si>
  <si>
    <t>Anybody ignoring consequences of this vile heinous attempt by the #JeffCitySwamp 2impeach 'uncomfortable outsider' w/bogus claims PROSECUTORIAL MALFEASANCE could B th NEXT VICTIM.We R a country w/law &amp;amp; order &amp;amp; best constitution.NOT guarding means WE LOSE OUR rights/freedom
#MoLeg</t>
  </si>
  <si>
    <t>Scam of an indictment https://t.co/dl8wFHoAk8 
What kind of sham-attorney agrees with PROSECUTORIAL MALFEASANCE and the 'court of opinion' instead of upholding DUE PROCESS
#AGJoshHawleyMUSTResign
#ProsecuteStLCAKimGardner #DisbarStLCAKimGardner4Life
#moleg #MoGov #MOSen #MOGOP</t>
  </si>
  <si>
    <t>In spite of PROSECUTORIAL MALFEASANCE @StLouisCityCA #KimGardner can't find anything, her and @AGJoshHawley manufacture claims of 'computer tampering' ?
#AGJoshHawleyMUSTResign
#ProsecuteStLCAKimGardner #DisbarStLCAKimGardner4Life
#moleg #MoGov #MOSen #MOGOP</t>
  </si>
  <si>
    <t>NOT upholding DUE PROCESS &amp;amp; LYING to Missourians 
MUST RESIGN
@AGJoshHawley 
@Rep_TRichardson 
@jaybarnes5 
@Mikelkehoe 
@robschaaf
@RonFRichard
@DLHoskins
@elijahhaahr
@jeanielauer
@KevinLAustin1
@shawnrhoads154
@gcmitts
@TommiePierson
@staceynewman
#moleg #MoGov #MOSen #MOGOP</t>
  </si>
  <si>
    <t>RT @SusanStormXO: #WELL #WELL #WELL 
Now think OF 3200+ MOSQUES 🕌 IN THE UNITED STATES 
Where they get their MONEY 💰 
How do refugees get…</t>
  </si>
  <si>
    <t>RT @KMGGaryde: Bernie Sanders! 'Trump's Agenda is Dead' if Democrats Win Midterms' OMG!
Pelosi will take your TAX CUTS, &amp;amp; We will loose eve…</t>
  </si>
  <si>
    <t>@cjillian0709 @jimesheldon @Delainey81 Scam of an indictment https://t.co/dl8wFHoAk8 
What kind of sham-attorney agrees with PROSECUTORIAL MALFEASANCE and the 'court of opinion' instead of upholding DUE PROCESS
#AGJoshHawleyMUSTResign
#ProsecuteStLCAKimGardner #DisbarStLCAKimGardner4Life
#moleg #MoGov #MOSen #MOGOP</t>
  </si>
  <si>
    <t>@cjillian0709 Scam of an indictment https://t.co/dl8wFHoAk8 
What kind of sham-attorney agrees with PROSECUTORIAL MALFEASANCE and the 'court of opinion' instead of upholding DUE PROCESS
#AGJoshHawleyMUSTResign
#ProsecuteStLCAKimGardner #DisbarStLCAKimGardner4Life
#moleg #MoGov #MOSen #MOGOP</t>
  </si>
  <si>
    <t>@cjillian0709 When innocent girls &amp;amp; women are raped justice must be done.When a hussy hairdresser sleeps w/high-profile politicians, her 2x exhub loser traveling musician with 9 kids shops secretly taped conversations that's a set-up for cash. Add PROSECUTORIAL MALFEASANCE = WITCHHUNT
#moleg</t>
  </si>
  <si>
    <t>@WildPalmsLtd Scam of an indictment https://t.co/dl8wFHoAk8 
What kind of sham-attorney agrees with PROSECUTORIAL MALFEASANCE and the 'court of opinion' instead of upholding DUE PROCESS
#AGJoshHawleyMUSTResign
#ProsecuteStLCAKimGardner #DisbarStLCAKimGardner4Life
#moleg #MoGov #MOSen #MOGOP</t>
  </si>
  <si>
    <t>@WildPalmsLtd Anybody ignoring the consequences of this vile heinous attempt by the #JeffCitySwamp 2impeach 'uncomfortable outsider' w/bogus claims &amp;amp; prosecutorial malfeasance could B th next victim.We R a country w/law &amp;amp; order &amp;amp; best constitution.Not guarding means we lose OUR rights/freedom</t>
  </si>
  <si>
    <t>@sarahkendzior Anybody ignoring the consequences of this vile heinous attempt by the #JeffCitySwamp 2impeach 'uncomfortable outsider' w/bogus claims &amp;amp; prosecutorial malfeasance could B th next victim.We R a country w/law &amp;amp; order &amp;amp; best constitution.Not guarding means we lose OUR rights/freedom</t>
  </si>
  <si>
    <t>@dbauer296 @sarahkendzior Scam of an indictment https://t.co/dl8wFHoAk8 
What kind of sham-attorney agrees with PROSECUTORIAL MALFEASANCE and the 'court of opinion' instead of upholding DUE PROCESS
#AGJoshHawleyMUSTResign
#ProsecuteStLCAKimGardner #DisbarStLCAKimGardner4Life
#moleg #MoGov #MOSen #MOGOP</t>
  </si>
  <si>
    <t>@sarahkendzior Scam of an indictment https://t.co/dl8wFHoAk8 
What kind of sham-attorney agrees with PROSECUTORIAL MALFEASANCE and the 'court of opinion' instead of upholding DUE PROCESS
#AGJoshHawleyMUSTResign
#ProsecuteStLCAKimGardner #DisbarStLCAKimGardner4Life
#moleg #MoGov #MOSen #MOGOP</t>
  </si>
  <si>
    <t>@fawfulfan @magathemaga1 @jdavidsonlawyer @ems1944 @RGreggKeller @missouriscout @EricGreitens @MOHouseGOP @DaynaGould @Hope4Hopeless1 @HotPokerPrinces @JohnLamping @gagemitchusson @ByronYork @SKOLBLUE1 @YearOfZero @Project_Veritas When innocent girls &amp;amp; women are raped justice must be done. When a hussy hairdresser sleeps with high-profile politicians, her 2x exhub loser traveling musician with 9 kids shops secretly taped conversations that's a set-up for cash. Add PROSECUTORIAL MALFEASANCE = WITCHHUNT https://t.co/ZoIw2cFvVM</t>
  </si>
  <si>
    <t>RT @EricGreitens: This team is getting great results for the people of Missouri. Met with cabinet leaders today to discuss their achievemen…</t>
  </si>
  <si>
    <t>RT @EricGreitens: Great talking with @MissouriChamber’s next generation of leaders about how to bring more quality jobs to Missouri today.…</t>
  </si>
  <si>
    <t>RT @EricGreitens: We've been working hard to protect our veterans and ensure they get quality care. Today, I met with the new administrator…</t>
  </si>
  <si>
    <t>In spite PROSECUTORIAL MALFEASANCE @StLouisCityCA #KimGardner can't find anything, her and @AGJoshHawley manufacture claims of 'computer tampering' ?
#AGJoshHawleyMUSTResign
#ProsecuteStLCAKimGardner #DisbarStLCAKimGardner4Life
#moleg #MoGov #MOSen #MOGOP https://t.co/crgAzQFIRG</t>
  </si>
  <si>
    <t>In spite PROSECUTORIAL MALFEASANCE @StLouisCityCA #KimGardner can't find anything, her and @AGJoshHawley manufacture claims of 'computer tampering' ?
#AGJoshHawleyMUSTResign
#ProsecuteStLCAKimGardner #DisbarStLCAKimGardner4Life
#moleg #MoGov #MOSen #MOGOP https://t.co/UwCebdrZDE</t>
  </si>
  <si>
    <t>In spite PROSECUTORIAL MALFEASANCE @StLouisCityCA #KimGardner can't find anything, her and @AGJoshHawley manufacture claims of 'computer tampering' ?
#AGJoshHawleyMUSTResign
#ProsecuteStLCAKimGardner #DisbarStLCAKimGardner4Life
#moleg #MoGov #MOSen #MOGOP https://t.co/bvkN8lxbw7</t>
  </si>
  <si>
    <t>RT @sigi_hill: @EdBigCon @KurtEricksonPD @EricGreitens In spite PROSECUTORIAL MALFEASANCE @StLouisCityCA #KimGardner can't find anything, h…</t>
  </si>
  <si>
    <t>@EdBigCon @KurtEricksonPD @EricGreitens In spite PROSECUTORIAL MALFEASANCE @StLouisCityCA #KimGardner can't find anything, her and @AGJoshHawley manufacture claims of 'computer tampering' ?
#AGJoshHawleyMUSTResign
#ProsecuteStLCAKimGardner #DisbarStLCAKimGardner4Life</t>
  </si>
  <si>
    <t>Because PROSECUTORIAL MALFEASANCE @StLouisCityCA #KimGardner can't find anything her and @AGJoshHawley manufacture claims of 'computer tampering' ?
#AGJoshHawleyMUSTResign
#ProsecuteStLCAKimGardner #DisbarStLCAKimGardner4Life https://t.co/1XvbUAR1Up</t>
  </si>
  <si>
    <t>RT @chrisregniertv: Senator Roy Blunt tells Fox 2 he is not calling for Gov. Greitens to resign in wake of new charge against him. Rather,…</t>
  </si>
  <si>
    <t>RT @CStamper_: Good to see a Republican who actually believes in the importance of the legal process. Too many are quick to join Claire McC…</t>
  </si>
  <si>
    <t>RT @magathemaga1: @chrisregniertv Thanks @RoyBlunt let it play out</t>
  </si>
  <si>
    <t>RT @SebGorka: Sums it up. 
@Comey and his “memos.”
https://t.co/gwEnn0YlZk
@seanhannity 
@FoxNews 
@FoxNewsInsider 
@foxnewsvideo https:/…</t>
  </si>
  <si>
    <t>RT @IWillRedPillU: RT if you agree illegals should be mass deported to wherever they came from and do not belong in America
#SaturdayMorning</t>
  </si>
  <si>
    <t>RT @ar15m4mid: They interfered in the 2016 elections with a slanderous dossier, over a year later they continue to manufacture dirt. Until…</t>
  </si>
  <si>
    <t>RT @AMike4761: The Union Jack is now banned in parts of London, amid claims that it is "offensive" to local people!
London has fallen. We…</t>
  </si>
  <si>
    <t>RT @larryelder: The two black men said they remain upset with #Starbucks because "rules are rules, but right is right." So...it's...morally…</t>
  </si>
  <si>
    <t>RT @OliverMcGee: .@POTUS @realDonaldTrump’s @WhiteHouse is US History’s Toughest! He took on RINOS, DNC, FBI, DOJ, Media, Obama, Hillary, C…</t>
  </si>
  <si>
    <t>RT @5Strat: Why is Maggie Haberman slamming President Trump everyday &amp;amp; stalking every tweet he makes? This is why. She sold out her Nation,…</t>
  </si>
  <si>
    <t>This vile pig is a teaching professor #FresnoStateUniversity ?
She is not kicked out yet and deported? https://t.co/oEGXCwJFUF</t>
  </si>
  <si>
    <t>RT @chuckwoolery: So in true gameshow fashion, "The Final Answer" for #Democrats when they lose an election? They sue you. " Of course, to…</t>
  </si>
  <si>
    <t>RT @LouisTabor3: At no other time in our history has a President of the United States been able to talk directly to the American people. Th…</t>
  </si>
  <si>
    <t>RT @USATrump45: President Trump Announces Plan to Countersue Democrats for DNC Server https://t.co/GyoW1FgkHo</t>
  </si>
  <si>
    <t>RT @ScottPresler: Today, I'll be out in my community picking up trash. 
Despite the threats I receive from democrats, my actions prove tha…</t>
  </si>
  <si>
    <t>RT @TomFitton: #PakistaniMysteryMan Awan Bros House Dem IT scandal. The Awan Brothers are a criminal gang who worked for House Democrats &amp;amp;…</t>
  </si>
  <si>
    <t>RT @RealJack: What. A. Total. Joke!
You had every mainstream media outlet in your INNER CIRCLE. 
‘They Were Never Going to Let Me Be Pres…</t>
  </si>
  <si>
    <t>RT @DineshDSouza: JUST DESERTS: If Trump succeeds with North Korea, the Nobel Committee should rescind Obama’s Peace Prize &amp;amp; give it to Tru…</t>
  </si>
  <si>
    <t>RT @JudicialWatch: Dozens of House Democrats waived background checks on their House I.T. aides (the Awan Brothers). JW warned for months t…</t>
  </si>
  <si>
    <t>RT @dbongino: Dear Snowflake Bob,
Were your feelings hurt too? Should we get some crayons for you and set up a safe-space? I love hammering…</t>
  </si>
  <si>
    <t>RT @CollinRugg: I don’t care that Trump “messes up” sometimes. I don’t care about what happened in his past
I care that he gave up his lux…</t>
  </si>
  <si>
    <t>RT @Pink_About_it: Hollywood ran for months on #metoo &amp;amp; dominated awards shows with pins and speeches
Allison Mack is arrested and the Hol…</t>
  </si>
  <si>
    <t>RT @LauraLoomer: Hillary Clinton ✔️
Huma Abedin ✔️
Chelsea Clinton ✔️
James Comey ✔️
Who would you like to see get #Loomered next?</t>
  </si>
  <si>
    <t>#AfDimBundestag einzige Hoffnung für Deutschland
#Merkelmussweg zusammen mit ihren Parteikartell Genossen https://t.co/BWjELw5GN1</t>
  </si>
  <si>
    <t>RT @Education4Libs: Why should 99% of the population have to change to please the 1%?
Political correctness is for weak cowards who let wh…</t>
  </si>
  <si>
    <t>#AGJoshHawleyMUSTResign https://t.co/8YZy8kNxhf</t>
  </si>
  <si>
    <t>RT @mike_Zollo: So Donald Trump gave up his billionaire lifestyle, his own plane, his hundreds of businesses at 70 yrs old to get viciously…</t>
  </si>
  <si>
    <t>RT @ColumbiaBugle: I'm surprised Bill Clinton didn't push Barry out of the way to sit next to Melania.</t>
  </si>
  <si>
    <t>RT @ColumbiaBugle: Melania Trump should lean over and tell both the Obama's and Clinton's, "The Inspector General sends his regards." #barb…</t>
  </si>
  <si>
    <t>RT @DonaldJTrumpJr: How’s the saying go? 
If for 2 years you don’t succeed pedaling your garbage try try again? 😂😂😂
Also do I get to take…</t>
  </si>
  <si>
    <t>RT @DonaldJTrumpJr: True. https://t.co/M6kSfJs8Vj</t>
  </si>
  <si>
    <t>RT @DonaldJTrumpJr: This is a really big deal for everyone! Well done @realDonaldTrump https://t.co/aVEmPF7hSu</t>
  </si>
  <si>
    <t>RT @realDonaldTrump: Today, my thoughts and prayers are with the entire Bush family. In memory of First Lady Barbara Bush, there is a remem…</t>
  </si>
  <si>
    <t>RT @realDonaldTrump: Join me in Washington, Michigan on Saturday, April 28, 2018 at 7:00pm! #MAGA Tickets: https://t.co/DISosdqBuu https://…</t>
  </si>
  <si>
    <t>RT @realDonaldTrump: ....it means lying or making up stories. Sorry, I don’t see Michael doing that despite the horrible Witch Hunt and the…</t>
  </si>
  <si>
    <t>RT @realDonaldTrump: ....non-existent “sources” and a drunk/drugged up loser who hates Michael, a fine person with a wonderful family. Mich…</t>
  </si>
  <si>
    <t>RT @realDonaldTrump: The New York Times and a third rate reporter named Maggie Haberman, known as a Crooked H flunkie who I don’t speak to…</t>
  </si>
  <si>
    <t>RT @realDonaldTrump: Fantastic crowd and great people yesterday in Key West, Florida. Thank you! https://t.co/HqOUFgmbQS</t>
  </si>
  <si>
    <t>RT @KatTheHammer1: "If that f*cking bastard wins, we all hang from nooses! Lauers' finished... And if I lose it's ALL ON YOUR HEADS FOR SCR…</t>
  </si>
  <si>
    <t>RT @DonnaWR8: @JudicialWatch @TomFitton #DSW #MAGA https://t.co/b0csxOWvD6</t>
  </si>
  <si>
    <t>RT @RealJack: The media says sex trafficking doesn’t exist... so it must be true!
Just like the media said Donald Trump would lose.
Just…</t>
  </si>
  <si>
    <t>RT @JacobAWohl: @realDonaldTrump Did Obama ever have crowds waiting on the street for him to go by? NO</t>
  </si>
  <si>
    <t>RT @RealCandaceO: I’m freaking out. @kanyewest ....please take a meeting with me. I tell every single person that everything that I have be…</t>
  </si>
  <si>
    <t>@BobBrigham @PhilippeReines @dbongino @DNC #DNC in their blind hatred digging up their own graves, as @POTUS tweets: "... we will now counter for the DNC Server that they refused to give to the FBI, the Debbie Wasserman Schultz Servers &amp;amp; Documents held by the Pakistani mystery man &amp;amp; ClintonEmails." https://t.co/AXxK6RHYKk</t>
  </si>
  <si>
    <t>RT @TyEducatingLibs: A homeless man in Cali stabbed a man to death as his daughter sat in his lap at a restaurant.
IF convicted he faces 5…</t>
  </si>
  <si>
    <t>RT @1776Stonewall: I can only imagine how much you're going to censor me around the elections, right?</t>
  </si>
  <si>
    <t>RT @1776Stonewall: Hey @jack do you mind lifting my shadowban? About 50 people have already told me they don't get notified of my tweets an…</t>
  </si>
  <si>
    <t>RT @Sticknstones4: The Witch Hunt Continues 
The St Louis temperatures Rise and so does
The Homocide Rate 
#kimshady doesn’t care about m…</t>
  </si>
  <si>
    <t>RT @realDonaldTrump: Heading to the Southern White House to watch the Funeral Service of Barbara Bush. First Lady Melania has arrived in Ho…</t>
  </si>
  <si>
    <t>RT @RealJamesWoods: Wouldn’t be surprising... https://t.co/mHchvTH29s</t>
  </si>
  <si>
    <t>RT @SurfPHX: LOL!! 😂😂😂
‘They’ meaning US, the Deplorables.
📍Hag Hillary degrades US during the campaign and then is surprised WE didn’t v…</t>
  </si>
  <si>
    <t>@seanm850 @1776Stonewall Selfdestruction</t>
  </si>
  <si>
    <t>RT @CoreyLMJones: Obama presented to the world an image of America that was one of weakness.
Obama’s 8 year apology tour emboldened our en…</t>
  </si>
  <si>
    <t>RT @MightyBusterBro: .
TRUMP HATERS
"Stepping In Their Own Poop"
Enough said. Watch and Enjoy!
@greggutfeld
#TheFive #POTUS #1A #2A #POTUS…</t>
  </si>
  <si>
    <t>RT @r_little_finger: T
H
E
.
L
E
A
K
E
R
.
.
C
O
M
E
Y
.
.
I
S
.
S
C
R
E
W
E
D
!
!
H
E
.
I
S
.
G
O
I
N
G
.
T
O
.
P
R
I
S
O
N
‼️</t>
  </si>
  <si>
    <t>RT @Real_PeachyKeen: As a mom of 10 children, I am thankful to all who have served in our military to keep all of our children safe.
If yo…</t>
  </si>
  <si>
    <t>RT @1776Stonewall: Andrew Cuomo grant 35,000 felons the right to vote. This is the Democrats thing now. This is how they gained control of…</t>
  </si>
  <si>
    <t>RT @RealMAGASteve: JUST IN: LIBERAL CALIFORNIA Lawmakers Propose Bill To Ban Sale Of Bibles.
Conservatives have warned liberals won’t be s…</t>
  </si>
  <si>
    <t>RT @BaracudaDebbie: @sicks_taryn @jimlibertarian @KatTheHammer1 @SiddonsDan @Dr_Kaco @RampsMAGARants @bbusa617 @Ollyoxinfree @jcpenni7maga…</t>
  </si>
  <si>
    <t>RT @RedNationRising: Comey, Brennan, and Clapper are the nastiest, most vile traitors to ever hold office in the Intelligence Community. Ob…</t>
  </si>
  <si>
    <t>RT @Farberyanki: Israeli actress Natalie Portman refused to receive a prize from the State of Israel, she said she was ashamed of the count…</t>
  </si>
  <si>
    <t>RT @SusanStormXO: OH THE #NERVE OF THIS A$$HAT 
HOPE SOMEONE PUTS THIS MAN IN HIS PLACE - He GLOATS when REALLY HE Floats on FARTS 💨. 
Se…</t>
  </si>
  <si>
    <t>RT @PoliticallyRYT: EPIC! Laura Ingraham is BACK and declares TOTAL WAR on the illiberal left. 
#FridayMotivation
#Conservatives
#MAGA
Do…</t>
  </si>
  <si>
    <t>RT @1Romans58: HAHAHAHA!!!!  Already in the bargain bin!  
Comey’s Book Tossed into Bookstore Bargain Bins https://t.co/WPFu9ORLyJ</t>
  </si>
  <si>
    <t>RT @brithume: Anatomy of a leak —&amp;gt;  https://t.co/7D0R7BSB0X</t>
  </si>
  <si>
    <t>RT @Jillibean557: 🤗🤗🤗🤗
RUDY RETURNS: Giuliani VOWS to End Mueller Probe Within ‘Weeks’ https://t.co/PPCpFwTbR3</t>
  </si>
  <si>
    <t>@KatiePavlich @POTUS is playing him - the art of the deal</t>
  </si>
  <si>
    <t>RT @PaulLee85: I can’t stop laughing at this 😂. Starbucks is a clown show. This is next level virtue signaling. By bringing in Eric Holder…</t>
  </si>
  <si>
    <t>@Str8DonLemon @EricGreitens We must dig up how loudmouth Hawley is connected to McCaskill and we must demand #AGJoshHawleyResign</t>
  </si>
  <si>
    <t>RT @Str8DonLemon: Cuz first charge from that washed up DJ ex husband fell apart - and was fake.
They are just throwing stuff against the w…</t>
  </si>
  <si>
    <t>RT @RealJack: Another major sex trafficking arrest. 
I thought the Democrats and media said sex trafficking didn’t exist?
Oh that’s right…</t>
  </si>
  <si>
    <t>RT @MZHemingway: Anyone who read these Comey memos would be hard pressed to say how they even justified a special counsel. Which is a prett…</t>
  </si>
  <si>
    <t>RT @RealCandaceO: Huge fan of your work, @DonCheadle. Rather than critique me over twitter, why don’t you debate me and my stance on BLM pu…</t>
  </si>
  <si>
    <t>RT @charliekirk11: Political correctness is a weapon used by those who wish to silence the truth</t>
  </si>
  <si>
    <t>RT @dbongino: Democrats a year ago: “we have evidence connecting the Russians and the Trump campaign.” 
It’s astonishing that otherwise int…</t>
  </si>
  <si>
    <t>RT @CHIZMAGA: So Debbie Wasserman Schultz had an alias for her secret emails, wanna guess what the first name of that alias was?...
That’s…</t>
  </si>
  <si>
    <t>RT @SaraCarterDC: Can you imagine if this guy was your neighbor?  https://t.co/FuRvqThU0t</t>
  </si>
  <si>
    <t>RT @RealJamesWoods: Your corruption was not a flesh wound,  but a systemic rot of your entire being. YOU were never going to let you be pre…</t>
  </si>
  <si>
    <t>RT @RealCandaceO: You respond, but not to my offer? A simple yes or no will suffice. Many of us are under the impression that you Hollywood…</t>
  </si>
  <si>
    <t>@realDonaldTrump High treason, hang #SlimeBallComey right next to #Killary</t>
  </si>
  <si>
    <t>@OregonRancher @DeniseMilosMom @JacobAWohl You are too stupid to realize how stupid you are</t>
  </si>
  <si>
    <t>RT @JacobAWohl: @realDonaldTrump Don't just fire Mueller, arrest him!</t>
  </si>
  <si>
    <t>RT @JacobAWohl: @realDonaldTrump The American people are ready to see Robert Mueller and the rest of the Uranium One Bandits locked up!</t>
  </si>
  <si>
    <t>@realDonaldTrump DNC digging up their own graves- that's how dumb they are- selfdestructive in their hate - typical psychopaths - go for it</t>
  </si>
  <si>
    <t>RT @DonnaWR8: @realDonaldTrump #TarmacMeeting #ObamaGate https://t.co/sP1lEBeNV4</t>
  </si>
  <si>
    <t>RT @DonnaWR8: @realDonaldTrump #WeThePeople the FED UP of the Double Standard. #LockHerUp https://t.co/Z0kda03em0</t>
  </si>
  <si>
    <t>RT @DonnaWR8: ✨MORE MEMORIES✨ of the DC CARTEL OPEN LEFTISTS MOB THUG Tactics. #DSW openly THREATENS the DC Police Chief over Awan’s laptop…</t>
  </si>
  <si>
    <t>RT @DonnaWR8: WATCH George Stephanopoulus use the typical REGRESSIVE LEFTIST THUG tactics threatening a journalist to kill a story about Cl…</t>
  </si>
  <si>
    <t>RT @DonnaWR8: Listen as #Rosenstein SMUGLY JUSTIFIES why the IG can review BIAS over EVERYONE except #Mueller, #Rosenstein, the #FBI and #D…</t>
  </si>
  <si>
    <t>RT @DonnaWR8: So the investigator who is reviewing the UNETHICAL BEHAVIOR of Mueller and Rosenstein REPORTS BACK to Rod #Rosenstein? 🆗🆒 #MA…</t>
  </si>
  <si>
    <t>RT @DonnaWR8: FLASHBACK⚡️GEORGE STEPHANOPOULOS uses MOB TACTICS to STOP journalist #BREAKING story on Clintons.
“I GUARANTEE you, if you d…</t>
  </si>
  <si>
    <t>RT @realDonaldTrump: A message from Kim Jong Un: “North Korea will stop nuclear tests and launches of intercontinental ballistic missiles.”…</t>
  </si>
  <si>
    <t>RT @realDonaldTrump: James Comey illegally leaked classified documents to the press in order to generate a Special Council? Therefore, the…</t>
  </si>
  <si>
    <t>RT @realDonaldTrump: Just heard the Campaign was sued by the Obstructionist Democrats. This can be good news in that we will now counter fo…</t>
  </si>
  <si>
    <t>RT @realDonaldTrump: North Korea has agreed to suspend all Nuclear Tests and close up a major test site. This is very good news for North K…</t>
  </si>
  <si>
    <t>RT @realDonaldTrump: Can you believe that despite 93% bad stories from the Fake News Media (should be getting good stories), today we had j…</t>
  </si>
  <si>
    <t>RT @WhiteHouse: Senators, former national security officials, and editorial boards have called for Mike Pompeo to be “swiftly” confirmed as…</t>
  </si>
  <si>
    <t>RT @PressSec: Thank you @SenJohnBarrasso! https://t.co/6Mv04rB8Jl</t>
  </si>
  <si>
    <t>RT @PressSec: John Kerry: 94-3
Hillary Clinton: 94-2
Condi Rice: 85-13
Colin Powell: Unanimous Voice Vote
What does history tell us? Member…</t>
  </si>
  <si>
    <t>RT @Scavino45: .@POTUS @realDonaldTrump with a beautiful Key West, Florida welcome while en route to briefings with #JIATFSouth, @SouthComW…</t>
  </si>
  <si>
    <t>RT @NASKeyWest: #CommanderInChief @POTUS arrives at #BocaChicaField. First visit by a sitting President since Kennedy in 1962. https://t.co…</t>
  </si>
  <si>
    <t>RT @SenJohnBarrasso: Wrote in @thehill today about why Mike Pompeo is the right man to be secretary of state. https://t.co/TVNmRc9SLR</t>
  </si>
  <si>
    <t>RT @Scavino45: .@POTUS @realDonaldTrump, joined by @DHSgov @SecNielsen, inspect a semi-submersible drug submarine, during President Trump's…</t>
  </si>
  <si>
    <t>RT @WhiteHouse: Mike Pompeo will be ready to lead the State Department on day one. With the grave threats facing our country, America needs…</t>
  </si>
  <si>
    <t>RT @JPN_PMO: [Message from PM Abe]
Over the last two days I have spent over 7 hours with President Trump, eating together, playing golf, an…</t>
  </si>
  <si>
    <t>RT @southcomwatch: President Trump at Joint Interagency Task Force-South explained how partners are key to taking on #ThreatNetworks &amp;amp; traf…</t>
  </si>
  <si>
    <t>RT @ADMZukunft: Joined @realDonaldTrump, @SecNielsen, @ADMKurtWTidd, &amp;amp; Gen Robinson to share how @DHSgov, @DeptofDefense &amp;amp; @USCG partner to…</t>
  </si>
  <si>
    <t>RT @Scavino45: “Trump to speak at Naval Academy graduation” https://t.co/zgJI1ucpWH</t>
  </si>
  <si>
    <t>RT @realDonaldTrump: Looks like OPEC is at it again. With record amounts of Oil all over the place, including the fully loaded ships at sea…</t>
  </si>
  <si>
    <t>RT @realDonaldTrump: Nancy Pelosi is going absolutely crazy about the big Tax Cuts given to the American People by the Republicans...got no…</t>
  </si>
  <si>
    <t>RT @realDonaldTrump: So exciting! I have agreed to be the Commencement Speaker at our GREAT Naval Academy on May 25th in Annapolis, Marylan…</t>
  </si>
  <si>
    <t>RT @realDonaldTrump: So General Michael Flynn’s life can be totally destroyed while Shadey James Comey can Leak and Lie and make lots of mo…</t>
  </si>
  <si>
    <t>RT @seanhannity: MEMO MAYHEM... https://t.co/g40XkgadjV</t>
  </si>
  <si>
    <t>RT @charliekirk11: Just because you think something should be legal doesn't mean you want to force it upon others
Don't like guns? Don't b…</t>
  </si>
  <si>
    <t>RT @Belle4DJT: No Surprise Here...Rush: It Appears Sally Yates Ordered McCabe To Shut Down The Clinton Foundation Case #ClintonFoundation #…</t>
  </si>
  <si>
    <t>RT @RealJack: BREAKING: Comey’s memos reveal President Trump actually wanted a thorough investigation into alleged Trump Russia collusion.…</t>
  </si>
  <si>
    <t>RT @mike_Zollo: McCabe just looks like a little rat, this criminal referral is going to make him sing like a bird. These criminal bureaucra…</t>
  </si>
  <si>
    <t>RT @IvankaTrump: The 1st round of We-Fi funding is allocated! #WeFi will help women entrepreneurs in developing countries access the capita…</t>
  </si>
  <si>
    <t>RT @LauraLoomer: One of the most amazing moments in my journalistic career/life so far happened today. 
"#COMEY YOU'RE GOING TO GET LOCKED…</t>
  </si>
  <si>
    <t>RT @drawandstrike: OK nice to see Fox News has caught up: "Reports: Deputy AG Rosenstein Told Trump That He's Not A Target In The Mueller &amp;amp;…</t>
  </si>
  <si>
    <t>RT @Pink_About_it: Nancy Pelosi admitted live on C-SPAN today, classified information that she traveled to Pyongyang, years ago as part of…</t>
  </si>
  <si>
    <t>RT @RepMarkMeadows: If anything, this impugns the judgement of Director Comey. He's the one apparently using the media to exaggerate concer…</t>
  </si>
  <si>
    <t>RT @RepMarkMeadows: These Comey memos were supposed to implicate President Trump? Really? 
On page 13 POTUS appears to instruct Director C…</t>
  </si>
  <si>
    <t>RT @DevinNunes: Statement from Chairman Goodlatte, Chairman Gowdy, and me on the Comey memos: https://t.co/rfmvM1JoyX</t>
  </si>
  <si>
    <t>RT @BackTheCops: Please help us lift a prayer for Sergeant Noel Ramirez and Deputy Sheriff Taylor Lindsey who were ambushed and killed toda…</t>
  </si>
  <si>
    <t>RT @MZHemingway: Oh my gosh. Comey tells Trump CNN was "looking for a news hook" to publish dossier allegations. He says this in the briefi…</t>
  </si>
  <si>
    <t>RT @TrumpTrainMRA4: 🚨Impeach and Arrest the Obama Administration🚨
BroKen Corrupt Washington has been Destroying 
The Constitutional Republi…</t>
  </si>
  <si>
    <t>RT @Jali_Cat: 🚨EXCLUSIVE🚨
Hillary's Deleted Emails Have Been Found.
Thanks to @RonDeSantisFL and lawyers of Judicial Watch, U.S. District…</t>
  </si>
  <si>
    <t>RT @Education4Libs: Two sheriff’s deputies were shot &amp;amp; killed today ambush style inside a restaurant in Trenton, Florida.
This kind of new…</t>
  </si>
  <si>
    <t>RT @LauraLoomer: One of the strangest parts about confronting #JamesComey was the woman who was directly in my frame.
Her name in Sunsara…</t>
  </si>
  <si>
    <t>RT @LauraLoomer: After I was escorted out, Sunsara Taylor apparently started screaming at Comey about how Donald Trump is a fascist.
She k…</t>
  </si>
  <si>
    <t>RT @GrrrGraphics: #ICanAlwaysCountOn a #new #BenGarrison #Cartoon #ComeyPyle #RIPGunny  #RLeeErmey #ComeyBook #GunnyErmey #SemperFi read th…</t>
  </si>
  <si>
    <t>RT @LauraLoomer: Why was Sunsara Taylor, the leader of Refuse Fascism, the notorious Alt-Left anti-Trump group that is always on the frontl…</t>
  </si>
  <si>
    <t>RT @SaraCarterDC: Exactly what I’ve been reporting for months...based on the evidence IG Horowitz had to send his findings to the Attorney…</t>
  </si>
  <si>
    <t>RT @bpolitics: BREAKING:  Rosenstein told Trump last week that he isn’t a target of any part of Mueller’s investigation, two sources say ht…</t>
  </si>
  <si>
    <t>RT @FoxBusiness: .@realDonaldTrump tweeted that "the Democrats are obstructing the process" of his nominations: https://t.co/EwFE9AeNcY</t>
  </si>
  <si>
    <t>RT @SaraCarterDC: Rudy Giuliani to join Trump’s legal team
https://t.co/T6TLHDbWlE</t>
  </si>
  <si>
    <t>RT @FranTownsend: Giuliani says he is joining Trump’s legal team to ‘negotiate an end’ to Mueller probe - The Washington Post https://t.co/…</t>
  </si>
  <si>
    <t>RT @DjLots3: Look at the @GOP on Judiciary Committee that wants to vote to protect MUELLER! @SenateMajLdr had this squashed. Thanks @ChuckG…</t>
  </si>
  <si>
    <t>RT @lucille2482: Great, now go cuff Lurch at the next book signing
#LockThemAllUp https://t.co/pNO8d4tuDi</t>
  </si>
  <si>
    <t>RT @V_of_Europe: Why are Germany's large-scale anti-migration protests ignored by mainstream media? https://t.co/SWy3zD85Om</t>
  </si>
  <si>
    <t>RT @Thomas1774Paine: FBI: James Comey Allowed McCabe to Run the FBI’s Clinton Foundation Probe Despite Conflicts of Interest, Deceit and Li…</t>
  </si>
  <si>
    <t>RT @4AllSoulKind: Most impactful statement:
“@DiamondandSilk is not terrorism!”
~@MarshaBlackburn 
#MAGA #GetSumMamas 
cc @realDonaldTrump…</t>
  </si>
  <si>
    <t>RT @rebeccaballhaus: Over dinner at Mar-a-Lago, Giuliani says Trump floated him joining the legal team because he wanted his advice. Giulia…</t>
  </si>
  <si>
    <t>@RepDeSantis "@threadreaderapp unroll"</t>
  </si>
  <si>
    <t>RT @JudicialWatch: Because of JW's litigation, it's now been revealed that DOJ compared Comey to WikiLeaks and even admitted some of the in…</t>
  </si>
  <si>
    <t>RT @realDonaldTrump: James Comey Memos just out and show clearly that there was NO COLLUSION and NO OBSTRUCTION. Also, he leaked classified…</t>
  </si>
  <si>
    <t>RT @realDonaldTrump: James Comey just threw Andrew McCabe “under the bus.” Inspector General’s Report on McCabe is a disaster for both of t…</t>
  </si>
  <si>
    <t>RT @realDonaldTrump: Sanctuary Cities released at least 142 Gang Members across the United States, making it easy for them to commit all fo…</t>
  </si>
  <si>
    <t>RT @realDonaldTrump: My thoughts, prayers and condolences are with the families, friends and colleagues of the two @GCSOFlorida deputies (H…</t>
  </si>
  <si>
    <t>RT @realDonaldTrump: Mike Pompeo is outstanding. First in his class at West Point. A top student at Harvard Law School. A success at whatev…</t>
  </si>
  <si>
    <t>@realDonaldTrump DemocRATs are too busy running for the cameras of their #mediamobs #VeryFakeNews @CNN @ABC @NBCNews @CBSNews @MSNBC @NPR @YahooNews @NYT @washingtonpost #Paparazzi</t>
  </si>
  <si>
    <t>RT @realDonaldTrump: ...Hopefully the Senate will not leave Washington until our Ambassadors, Judges and the people who make Washington wor…</t>
  </si>
  <si>
    <t>RT @realDonaldTrump: Democrats are obstructing good (hopefully great) people wanting to give up a big portion of their life to work for our…</t>
  </si>
  <si>
    <t>RT @realDonaldTrump: .@MarshaBlackburn is a wonderful woman who has always been there when we have needed her. Great on the Military, Borde…</t>
  </si>
  <si>
    <t>RT @realDonaldTrump: THANK YOU #JIATFSouth, @Norad_Northcom, @southcomwatch and @DHSgov. Keep up the GREAT work! https://t.co/3v2uG6Jp1T</t>
  </si>
  <si>
    <t>@NewsTribune I sent the email, hope you get the message that the Navy Seal Governor @EricGreitens  is more capable to conduct his job that we elected him for than the lazy bureaucrats that probably have more 'moral turpitude' issues than the governor.
#MoLeg #MoGov #MOSen #MOGOP</t>
  </si>
  <si>
    <t>Watch out #moleg #MoGov #MOSen #MOGOP when pointing a finger three are pointing back at each of you👈WE are digging up YOUR dirt.
We The People SEE YOUR DIRTY POLITICS
#IStandWithGovGreitens https://t.co/lXrQApxaln</t>
  </si>
  <si>
    <t>Watch out #moleg #MoGov #MOSen #MOGOP when pointing a finger three are pointing back at each of you👈WE are digging up YOUR dirt.
Time to unravel the "moral turpitude" of each of you 'fake puritans'... https://t.co/AmU59R0xCP</t>
  </si>
  <si>
    <t>RT @realDonaldTrump: Great meeting with Prime Minister Abe of Japan, who has just left Florida. Talked in depth about North Korea, Military…</t>
  </si>
  <si>
    <t>RT @realDonaldTrump: Governor Jerry Brown announced he will deploy “up to 400 National Guard Troops” to do nothing. The crime rate in Calif…</t>
  </si>
  <si>
    <t>RT @realDonaldTrump: Just arrived @NASKeyWest! Heading to a briefing with the Joint Interagency Task Force South, NORTHCOM and SOUTHCOM. ht…</t>
  </si>
  <si>
    <t>RT @charliekirk11: To anger a conservative lie to him 
To anger a liberal tell him the truth</t>
  </si>
  <si>
    <t>RT @mitchellvii: James Comey claims the Republican party left him? You left IT long ago when you first exonerated the Clinton Crime Cartel…</t>
  </si>
  <si>
    <t>RT @mitchellvii: Much to the consternation of the Left, President Trump is bringing peace to the world not through weakness and surrender,…</t>
  </si>
  <si>
    <t>RT @kelliwardaz: Hard work, #AmericaFirst policies, &amp;amp; a proven record of getting results is what the people want - every day more Arizonans…</t>
  </si>
  <si>
    <t>RT @realDonaldTrump: Thank you San Diego County for defending the rule of law and supporting our lawsuit against California's illegal and u…</t>
  </si>
  <si>
    <t>RT @seanhannity: Boom https://t.co/V9AHyxgtX9</t>
  </si>
  <si>
    <t>RT @drawandstrike: I mean, as long as DNC Media wants to go nonstop Karen McDougal for the next 3 months, I"m totally down with it. 
Let's…</t>
  </si>
  <si>
    <t>RT @PoliticalShort: Attorney for CNN and NYT convinced judge to publicly name Sean Hannity...wow. https://t.co/jUw7OEaYdD</t>
  </si>
  <si>
    <t>RT @Education4Libs: Shout out to my girl @LauraLoomer for sticking it to James Comey today during his book tour.
That was awesome. 😂</t>
  </si>
  <si>
    <t>RT @CoreyLMJones: There is more than enough evidence to prosecute Crooked Hillary, Comey, McCabe, Lynch, Strzok, etc.
-The Clinton email p…</t>
  </si>
  <si>
    <t>RT @JackPosobiec: Every time James Comey opens his mouth the FBI loses more credibility</t>
  </si>
  <si>
    <t>RT @GrizzleMeister: Educated idiots like Mrs Obama continually have 2remind people of how ignorant they R as they constantly open their foo…</t>
  </si>
  <si>
    <t>RT @mike_Zollo: Donald Trump will go down as the greatest President in American history. He literally has everyone against him and he’s sti…</t>
  </si>
  <si>
    <t>RT @chuckwoolery: Newt Gingrich: Mueller and FBI are Acting Like “Stalin” and “The Gestapo in Germany” (VIDEO) https://t.co/0g0TrGxmE7</t>
  </si>
  <si>
    <t>RT @SaraCarterDC: Wasn’t that considerate of them... https://t.co/O3WNd7u799</t>
  </si>
  <si>
    <t>RT @mitchellvii: Joe DiGenova on Comey: Single-Handedly Destroyed the FBI  He Has to be Be Charged with Crimes and for Lying to Congress.…</t>
  </si>
  <si>
    <t>RT @mitchellvii: These Muslims running for office is just more of my theory that Trump is forcing the Democrat Party further and further to…</t>
  </si>
  <si>
    <t>RT @mitchellvii: Trump declined to say which locations the U.S. was reviewing for his summit with Kim, but did confirm that he still plans…</t>
  </si>
  <si>
    <t>RT @mitchellvii: In today's highly partisan environment, @comey has achieved the impossible.  He has made EVERYONE on both sides of the ais…</t>
  </si>
  <si>
    <t>RT @mitchellvii: #SlowWalker - GOP reps refer Comey, Clinton, McCabe for criminal investigation | Fox News https://t.co/c57busnmNQ</t>
  </si>
  <si>
    <t>RT @TaxReformExpert: I am so excited to have backed President Trump.  He is the bold, smart, strategic leader this nation has needed!  #Tru…</t>
  </si>
  <si>
    <t>RT @mitchellvii: Trump to host campaign rally during White House correspondents' dinner. https://t.co/hr4iVr1uRv</t>
  </si>
  <si>
    <t>RT @mitchellvii: The president's re-election campaign announced Tuesday that he will host a rally in Michigan at 7 p.m. on Saturday, April…</t>
  </si>
  <si>
    <t>RT @mitchellvii: When all of this social media #censorship began, Democrats had a 12 point lead in the generic ballot and Trump was in the…</t>
  </si>
  <si>
    <t>RT @mitchellvii: JUST WOW - Lawsuit: Google Instructed Managers that 'Individual Achievement' and 'Objectivity' Were Examples of 'White Dom…</t>
  </si>
  <si>
    <t>RT @mitchellvii: Now that the Mueller investigation is wrecked, what will the media talk about at their correspondents dinner? https://t.co…</t>
  </si>
  <si>
    <t>RT @mitchellvii: New York Governor Andrew Cuomo has just signed an executive order to allow felons on parole to vote. Anything to keep the…</t>
  </si>
  <si>
    <t>RT @mitchellvii: Colleges around the country are censoring kids like @CalebBurdett18 for supporting President Trump yet allow teachers to g…</t>
  </si>
  <si>
    <t>RT @mitchellvii: Food stamp usage has DROPPED by 600,000 people in just ONE MONTH under President Trump! RESULTS, RESULTS, RESULTS!</t>
  </si>
  <si>
    <t>RT @mitchellvii: If Melania Trump was a liberal, she'd be on the cover of every fashion magazine at all times. There has never been a First…</t>
  </si>
  <si>
    <t>RT @mitchellvii: Hezbollah and Iran have converted and radicalized thousands of Latin Americans according to an expert who wrote a testim…</t>
  </si>
  <si>
    <t>RT @mitchellvii: You know, for having more money than God, Mark Zuckerberg doesn't look so hot. https://t.co/HaJ42g0Sdl</t>
  </si>
  <si>
    <t>RT @mitchellvii: Germany is now lobbying for Turkey, under Erdogan, to be admitted in the European Union and Schengen zone. If you thought…</t>
  </si>
  <si>
    <t>RT @mitchellvii: Emmanuel Macron is now citing figures that the African migrant population in Europe will reach 200 million within the next…</t>
  </si>
  <si>
    <t>RT @mitchellvii: Trump is achieving so many great things for America, one really has to wonder about the agenda of those who claim he is "d…</t>
  </si>
  <si>
    <t>RT @IsraelUSAforevr: @IvankaTrump @LaraLeaTrump @stevenmnuchin1 @EricTrump @DonaldJTrumpJr  https://t.co/xmmFn9Wap0</t>
  </si>
  <si>
    <t>RT @IsraelUSAforevr: @IvankaTrump @LaraLeaTrump @stevenmnuchin1 @EricTrump @DonaldJTrumpJr  https://t.co/lZnzUlH0d6</t>
  </si>
  <si>
    <t>RT @IsraelUSAforevr: @IvankaTrump @LaraLeaTrump @stevenmnuchin1 @EricTrump @DonaldJTrumpJr  https://t.co/gPlomuOMCG</t>
  </si>
  <si>
    <t>RT @IsraelUSAforevr: @IvankaTrump @LaraLeaTrump @stevenmnuchin1 @EricTrump @DonaldJTrumpJr  https://t.co/RUF5xMZm0n</t>
  </si>
  <si>
    <t>RT @IsraelUSAforevr: @IvankaTrump @LaraLeaTrump @stevenmnuchin1 @EricTrump @DonaldJTrumpJr  https://t.co/QuHVA50Hig</t>
  </si>
  <si>
    <t>RT @IsraelUSAforevr: @IvankaTrump @LaraLeaTrump @stevenmnuchin1 @EricTrump @DonaldJTrumpJr  https://t.co/qXvdpjjOlo</t>
  </si>
  <si>
    <t>RT @IvankaTrump: Airport Diner Manchester, NH Top 📷: Feb 9, 2016 Bottom 📷: Today! https://t.co/7AWaoZodo8</t>
  </si>
  <si>
    <t>RT @parscale: This time next year over 80% of Americans will be getting a tax cut averaging $2,130 says the Tax Policy Center. Which by the…</t>
  </si>
  <si>
    <t>Hey #VeryFakeNews @CNN @ABC @NBCNews @CBSNews @MSNBC @NPR @YahooNews @NYT @washingtonpost #Paparazzi #Feminazi #P***yhats 
Did you get this: 1st female Marine General, nominated by Your President Trump!
Now go back to your whores... https://t.co/YMStNH55ll</t>
  </si>
  <si>
    <t>#LiberalismIsAMentalDisorder https://t.co/HtTVjkEk7K</t>
  </si>
  <si>
    <t>RT @PressSec: Nothing could better underscore the importance of getting America's top diplomat in place for such a time as this. Dems have…</t>
  </si>
  <si>
    <t>RT @Scavino45: .@POTUS @realDonaldTrump hosts a joint press conference with @JPN_PMO @AbeShinzo. 🎥https://t.co/zTlNh8oe4A https://t.co/eRe8…</t>
  </si>
  <si>
    <t>RT @AbeShinzo: Akie and I truly appreciate the warmest hospitality given by @FLOTUS and @realDonaldTrump  Many many thanks. https://t.co/Cd…</t>
  </si>
  <si>
    <t>RT @Scavino45: 📲 Behind-the-scenes after today’s joint press conference hosted by President @realDonaldTrump with @JPN_PMO @AbeShinzo! 
🇺🇸…</t>
  </si>
  <si>
    <t>RT @realDonaldTrump: It was my great honor to host my friend @JPN_PMO @AbeShinzo and his delegation at Mar-a-Lago for the past two days. Lo…</t>
  </si>
  <si>
    <t>RT @StateDept: .@POTUS Trump thanks Prime Minister @AbeShinzo for his support, discusses U.S.-Japan cooperation on #NorthKorea, defense, an…</t>
  </si>
  <si>
    <t>RT @realDonaldTrump: Great working luncheon with U.S. and Japanese Delegations this afternoon! https://t.co/ywU2CEih8b</t>
  </si>
  <si>
    <t>RT @realDonaldTrump: Prime Minister @AbeShinzo of Japan and myself this morning building an even deeper and better relationship while playi…</t>
  </si>
  <si>
    <t>RT @magathemaga1: Today, I'll be standing on busy street corner with sign, "I want to know why democrats choose illegal aliens over black l…</t>
  </si>
  <si>
    <t>RT @LauraLoomer: James Comey meets Laura Loomer https://t.co/2cW27MS5DJ</t>
  </si>
  <si>
    <t>RT @Jali_Cat: EVERY @SenateGOP name should be on this call for criminal investigation against @Comey @HillaryClinton #McCabe #Rosenstein!!…</t>
  </si>
  <si>
    <t>RT @Jali_Cat: Criminal Referral Issued For Comey, Clinton, Lynch And McCabe; Rosenstein Recusal Demanded. 
Thank you @RonDeSantisFL for ta…</t>
  </si>
  <si>
    <t>RT @chuckwoolery: “YOU’RE GOING TO JAIL!” – Conservative Activist Laura Loomer DESTROYS Comey at Book Signing (VIDEO) https://t.co/iEa0SNdH…</t>
  </si>
  <si>
    <t>RT @tracybeanz: Ummm. https://t.co/tlBBfAtkTZ</t>
  </si>
  <si>
    <t>RT @DineshDSouza: Over a big pile of cash from a book deal would seem to be more accurate https://t.co/CEf1J58mD6</t>
  </si>
  <si>
    <t>RT @MikeTokes: BREAKING: Here is the letter 11 members of Congress have just sent to the Department of Justice referring Comey, Lynch, Lisa…</t>
  </si>
  <si>
    <t>RT @TejasPsycho: The crap @LauraLoomer puts up with. No other "Journalist" has the balls to do that. We need more of her. Thank you Laura f…</t>
  </si>
  <si>
    <t>RT @EricTrump: We take just as much pride in the “back of house” spaces, which will never be seen by the public, as we do in our “front of…</t>
  </si>
  <si>
    <t>RT @Thomas1774Paine: BREAKING: California Governor Backs Down — Announces Mobilization of 400 National Guard Troops, Per Trump’s Order http…</t>
  </si>
  <si>
    <t>RT @sigi_hill: @JaneDueker @AGJoshHawley What kind of sham-attorney agrees with PROSECUTORIAL MALFEASANCE and the 'court of opinion' instea…</t>
  </si>
  <si>
    <t>@JaneDueker @AGJoshHawley What kind of sham-attorney agrees with PROSECUTORIAL MALFEASANCE and the 'court of opinion' instead of upholding DUE PROCESS, LAW &amp;amp; ORDER and THE CONSTITUTION 👉 @JaneDueker and @AGJoshHawley🤬
#IStandWithGovGreitens
#MoLeg #MOSen #MoGov #MOGOP</t>
  </si>
  <si>
    <t>RT @seanhannity: https://t.co/5I0Ng7lNkR</t>
  </si>
  <si>
    <t>#VeryFakeNews @CNN @ABC @NBCNews @CBSNews @MSNBC @NPR @YahooNews @NYT @washingtonpost #Paparazzi   
We know U have no brains,maybe U can still read a few lines😁
Of course your $$ only meant 2get u favors w Killary &amp;amp; whores to ruin our country 
President approval today 50% 😍 https://t.co/DKCrirFvTx</t>
  </si>
  <si>
    <t>RT @pinkk9lover: Hey  #Comey since the book tour isn’t going so well... wanna try #Stormy Comey in Vegas? Just asking... #ThursdayThought…</t>
  </si>
  <si>
    <t>RT @Fuctupmind: Watch Laura Loomer blast James Comey at a book signing!
Absolutely amazing job @LauraLoomer
James Comey has been #Loomere…</t>
  </si>
  <si>
    <t>🤣🤣🤣 https://t.co/jM0GcPfbKu</t>
  </si>
  <si>
    <t>RT @seanhannity: Tonight on #Hannity 11 GOP lawmakers made a criminal referral to the DOJ today against former Obama admin officials &amp;amp; empl…</t>
  </si>
  <si>
    <t>RT @DonaldJTrumpJr: I just thought this was a pretty cool DM to receive and wanted to share. As many of you know I… https://t.co/aqVvNXx14V</t>
  </si>
  <si>
    <t>RT @TrumpTrainMRA4: Donald J. Trump
Melania Trump 
&amp;amp; 
Barron Trump 
Left Their Beautiful Life to Make America Great Again 
Please Get Off Y…</t>
  </si>
  <si>
    <t>RT @Education4Libs: -When every gun is banned.
-When every word is censored.
-When every book is burned.
-When every dissenter goes to jail…</t>
  </si>
  <si>
    <t>#HolderIsACriminal seditious traitor
#FireAndFury
His noose in row with #Killary #SlimeBallComey https://t.co/GRdgd7PEOD</t>
  </si>
  <si>
    <t>@_SierraWhiskee @EricHolder @Hoosiers1986 @PhilMcCrackin44 @GrizzleMeister @LVNancy @ChristieC733 @carrieksada @GartrellLinda @CB618444 #HolderIsACriminal seditious traitor
#FireAndFury
His noose in row with #Killary #SlimeBallComey</t>
  </si>
  <si>
    <t>RT @VisioDeiFromLA: Real SAD what Moonbeam is doing out here 
I would rather live in MO than deal with gestapo Franchise Tax Board of Cali…</t>
  </si>
  <si>
    <t>RT @CoreyLMJones: The dominos are falling...
Lawmakers sent criminal referrals to the DOJ for:
1) Hillary Clinton
2) James Comey
3) Loretta…</t>
  </si>
  <si>
    <t>Love it ❤️
❤️Thank you @IvankaTrump for sacrificing so much of your family time to serve our country
#MAGA https://t.co/K7LEl94h5O</t>
  </si>
  <si>
    <t>I lost all confidence in those slimy backstabbing legislators. Every one of them involved in this heinous attack on our due process should be impeached.
@GovGreitensMO #moleg #MoGov #MOSen #MOGOP
#IStandWithGovGreitens https://t.co/ltpUhq99EW</t>
  </si>
  <si>
    <t>@BCunninghamN @GovGreitensMO Anybody ignoring the consequences of this vile heinous attempt by the #JeffCitySwamp 2impeach 'uncomfortable outsider' w/bogus claims &amp;amp; prosecutorial malfeasance could B th next victim.We R a country w/law &amp;amp; order &amp;amp; best constitution.Not guarding means we lose OUR rights/freedom</t>
  </si>
  <si>
    <t>@Hope4Hopeless1 @JW1057 @JCunninghamMO @lfshumake @CheriMO44 @SpeakerTimJones @MOGOP_Chairman @Rep_TRichardson @rossgarber @MarkReardonKMOX We Missourians really need to use our connections to dig up the dirt of these "moral turpitude apostles" to expose these 'slimy puritans'. Equal punishment, we have their names
#MoLeg #MOSen #MoGov #MOGOP</t>
  </si>
  <si>
    <t>@JW1057 @JCunninghamMO @lfshumake @CheriMO44 @SpeakerTimJones @MOGOP_Chairman @Rep_TRichardson @rossgarber @MarkReardonKMOX They want to use "moral turpitude" against the Governor? Time to unravel the "moral turpitude" of each of these puritans... Watch out #MoLeg #MoGov #MOSen #MOGOP WE are digging up YOUR dirt. You forget the 'age of social media connections' and we have your names</t>
  </si>
  <si>
    <t>RT @JackPosobiec: Comey’s breakup letter isn’t exactly flying off the shelves in DC https://t.co/MIklUhBlKD</t>
  </si>
  <si>
    <t>RT @Megan4MAGA: Isn't it funny when liberals like Hogg boy say to boycott something that the ratings on shows or even memberships like the…</t>
  </si>
  <si>
    <t>#HangThemForHighTreason https://t.co/qClXW65k2D</t>
  </si>
  <si>
    <t>Now we need to expose expose anything and everything about the lawyer #RobertBalin - what other mafia activities is this crook associated with #CNNIsTerrorism worldwide #CNNIsADisgraceForAmerica https://t.co/3YmBFOefwR</t>
  </si>
  <si>
    <t>RT @NatashaBertrand: Robert Balin is the attorney’s name. Thanks everyone who commented with it!</t>
  </si>
  <si>
    <t>RT @sigi_hill: @dbongino Now we need to expose expose anything and everything about the lawyer #RobertBalin - what other mafia activities i…</t>
  </si>
  <si>
    <t>@dbongino Now we need to expose expose anything and everything about the lawyer #RobertBalin - what other mafia activities is this crook associated with
#CNNIsTerrorism worldwide
#CNNIsADisgraceForAmerica</t>
  </si>
  <si>
    <t>RT @TyEducatingLibs: California had more people vote for @realDonaldTrump than any other state. These Americans do not deserve to be held h…</t>
  </si>
  <si>
    <t>RT @RealCandaceO: Great event last night @UCBerkeley. We survived. 
Fun fact: our SUV got broken into afterward and @RubinReport got his a…</t>
  </si>
  <si>
    <t>RT @StephenMilIer: You know our country has lost its path when illegal aliens have more rights than American citizens who voted for Trump.</t>
  </si>
  <si>
    <t>@LisaSmith4680 And the #MediaWhores are all over this slut</t>
  </si>
  <si>
    <t>RT @LisaSmith4680: No Stormy Daniels, You are NOT making America horny again.
YOU are making American vomit again! 🤮
#WednesdayWisdom - Has…</t>
  </si>
  <si>
    <t>RT @KatTheHammer1: While #MSM hangs on every word a certain pornstar says......Like a smitten teenager. 
These traitorous liars, leakers,…</t>
  </si>
  <si>
    <t>RT @TomFitton: Mueller is conflicted -- he interviewed for Comey's job and now he is investigating @RealDonaldTrump for Comey's firing.  Wi…</t>
  </si>
  <si>
    <t>@VisioDeiFromLA @realDonaldTrump @EricGreitens @parscale #FAKENEWS colluding with the DemocRATs and the rest of the #DNCMob #MEDIAWHORES #FEARMONGERS</t>
  </si>
  <si>
    <t>@HunterMw @JackSuntrup And you are #FAKENEWS colluding with the DemocRATs and the rest of the #DNCMob #FEARMONGERS</t>
  </si>
  <si>
    <t>RT @SaraCarterDC: BREAKING:  Will have more when I join @seanhannity on radio this afternoon https://t.co/dIYl3MEivl</t>
  </si>
  <si>
    <t>RT @Thomas1774Paine: BREAKING: Eleven GOP Congressmen Unite to Refer Comey, Clinton, McCabe, Lynch &amp;amp; FBI Agents for Criminal Prosecution ht…</t>
  </si>
  <si>
    <t>@grcfay @magathemaga1 @ohsynesthesia @MOHouseGOP @MissouriGOP @Avenge_mypeople @Blackboxhalo @Rep_TRichardson @elijahhaahr @strmsptr @Sticknstones4 @Hope4Hopeless1 @AGJoshHawley @StLouisCityCA @GovGreitensMO @RobVescovo @RonFRichard @POTUS DEMANDING ANSWERS:
R THESE PURITAN #MOSen THE WIFE-CHEATERS POT-SMOKERS THAT CHAPPELLE-NADAL WAS TALKING ABOUT? 
HAS ANY OF THEM HAD SEX W 'KITTY SNEED'-'K.S.'/CHEATING HAIRDRESSER?
WHY DIDN'T THEY FIRE CHAPPELLE-NADAL 4THREATENING THE LIFE OF A SITTING PRESIDENT? #FELONY
#MoLeg</t>
  </si>
  <si>
    <t>@grcfay @magathemaga1 @ohsynesthesia @MOHouseGOP @MissouriGOP @Avenge_mypeople @Blackboxhalo @Rep_TRichardson @elijahhaahr @strmsptr @Sticknstones4 @Hope4Hopeless1 @AGJoshHawley @StLouisCityCA @GovGreitensMO @RobVescovo @RonFRichard 2017 the ShamReps couldn't fire seditious Sen.Chappelle-Nadal for her death-threat2 @POTUS “I’m not resigning,” she said. “Legislators cheat on their wives or smoke marijuana and are not asked to resign. I’m not resigning over a simple mistake.”
https://t.co/0vRLf0kMi6
#MoLeg</t>
  </si>
  <si>
    <t>@grcfay @magathemaga1 @ohsynesthesia @MOHouseGOP @MissouriGOP @Avenge_mypeople @Blackboxhalo @Rep_TRichardson @elijahhaahr @strmsptr @Sticknstones4 @Hope4Hopeless1 @AGJoshHawley @StLouisCityCA @GovGreitensMO @Rep_TRichardson @elijahhaahr @RobVescovo @RonFRichard @AGJoshHawley ignoring PROSECUTORIAL MALFEASANCE,PERJURIES,protecting hussy hairdresser Kitty Sneed-very suspicious 2rid 'uncomfortable outsider' Governor Proves THEY're REALswamp THEY MUST GO https://t.co/FzDjEAFnVy  
#MoLeg</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</si>
</sst>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3190"/>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HYPERLINK("http://www.twitter.com/NathanBLawrence/status/998949850417913856", "998949850417913856")</f>
        <v/>
      </c>
      <c r="B2" s="2" t="n">
        <v>43242.64789351852</v>
      </c>
      <c r="C2" t="n">
        <v>0</v>
      </c>
      <c r="D2" t="n">
        <v>0</v>
      </c>
      <c r="E2" t="s">
        <v>13</v>
      </c>
      <c r="F2" t="s"/>
      <c r="G2" t="s"/>
      <c r="H2" t="s"/>
      <c r="I2" t="s"/>
      <c r="J2" t="n">
        <v>-0.5266999999999999</v>
      </c>
      <c r="K2" t="n">
        <v>0.274</v>
      </c>
      <c r="L2" t="n">
        <v>0.726</v>
      </c>
      <c r="M2" t="n">
        <v>0</v>
      </c>
    </row>
    <row r="3" spans="1:13">
      <c r="A3" s="1">
        <f>HYPERLINK("http://www.twitter.com/NathanBLawrence/status/998948011471396865", "998948011471396865")</f>
        <v/>
      </c>
      <c r="B3" s="2" t="n">
        <v>43242.64282407407</v>
      </c>
      <c r="C3" t="n">
        <v>0</v>
      </c>
      <c r="D3" t="n">
        <v>4818</v>
      </c>
      <c r="E3" t="s">
        <v>14</v>
      </c>
      <c r="F3" t="s"/>
      <c r="G3" t="s"/>
      <c r="H3" t="s"/>
      <c r="I3" t="s"/>
      <c r="J3" t="n">
        <v>0.4767</v>
      </c>
      <c r="K3" t="n">
        <v>0</v>
      </c>
      <c r="L3" t="n">
        <v>0.866</v>
      </c>
      <c r="M3" t="n">
        <v>0.134</v>
      </c>
    </row>
    <row r="4" spans="1:13">
      <c r="A4" s="1">
        <f>HYPERLINK("http://www.twitter.com/NathanBLawrence/status/998946113158692865", "998946113158692865")</f>
        <v/>
      </c>
      <c r="B4" s="2" t="n">
        <v>43242.63758101852</v>
      </c>
      <c r="C4" t="n">
        <v>0</v>
      </c>
      <c r="D4" t="n">
        <v>8</v>
      </c>
      <c r="E4" t="s">
        <v>15</v>
      </c>
      <c r="F4" t="s"/>
      <c r="G4" t="s"/>
      <c r="H4" t="s"/>
      <c r="I4" t="s"/>
      <c r="J4" t="n">
        <v>-0.7531</v>
      </c>
      <c r="K4" t="n">
        <v>0.266</v>
      </c>
      <c r="L4" t="n">
        <v>0.734</v>
      </c>
      <c r="M4" t="n">
        <v>0</v>
      </c>
    </row>
    <row r="5" spans="1:13">
      <c r="A5" s="1">
        <f>HYPERLINK("http://www.twitter.com/NathanBLawrence/status/998945810980077568", "998945810980077568")</f>
        <v/>
      </c>
      <c r="B5" s="2" t="n">
        <v>43242.63674768519</v>
      </c>
      <c r="C5" t="n">
        <v>0</v>
      </c>
      <c r="D5" t="n">
        <v>14714</v>
      </c>
      <c r="E5" t="s">
        <v>16</v>
      </c>
      <c r="F5" t="s"/>
      <c r="G5" t="s"/>
      <c r="H5" t="s"/>
      <c r="I5" t="s"/>
      <c r="J5" t="n">
        <v>0.6249</v>
      </c>
      <c r="K5" t="n">
        <v>0</v>
      </c>
      <c r="L5" t="n">
        <v>0.823</v>
      </c>
      <c r="M5" t="n">
        <v>0.177</v>
      </c>
    </row>
    <row r="6" spans="1:13">
      <c r="A6" s="1">
        <f>HYPERLINK("http://www.twitter.com/NathanBLawrence/status/998941607725383680", "998941607725383680")</f>
        <v/>
      </c>
      <c r="B6" s="2" t="n">
        <v>43242.62515046296</v>
      </c>
      <c r="C6" t="n">
        <v>0</v>
      </c>
      <c r="D6" t="n">
        <v>3</v>
      </c>
      <c r="E6" t="s">
        <v>17</v>
      </c>
      <c r="F6" t="s"/>
      <c r="G6" t="s"/>
      <c r="H6" t="s"/>
      <c r="I6" t="s"/>
      <c r="J6" t="n">
        <v>0</v>
      </c>
      <c r="K6" t="n">
        <v>0</v>
      </c>
      <c r="L6" t="n">
        <v>1</v>
      </c>
      <c r="M6" t="n">
        <v>0</v>
      </c>
    </row>
    <row r="7" spans="1:13">
      <c r="A7" s="1">
        <f>HYPERLINK("http://www.twitter.com/NathanBLawrence/status/998941422785974272", "998941422785974272")</f>
        <v/>
      </c>
      <c r="B7" s="2" t="n">
        <v>43242.62464120371</v>
      </c>
      <c r="C7" t="n">
        <v>1</v>
      </c>
      <c r="D7" t="n">
        <v>0</v>
      </c>
      <c r="E7" t="s">
        <v>18</v>
      </c>
      <c r="F7">
        <f>HYPERLINK("http://pbs.twimg.com/media/DdzzQMqUwAAxoXK.jpg", "http://pbs.twimg.com/media/DdzzQMqUwAAxoXK.jpg")</f>
        <v/>
      </c>
      <c r="G7" t="s"/>
      <c r="H7" t="s"/>
      <c r="I7" t="s"/>
      <c r="J7" t="n">
        <v>0</v>
      </c>
      <c r="K7" t="n">
        <v>0</v>
      </c>
      <c r="L7" t="n">
        <v>1</v>
      </c>
      <c r="M7" t="n">
        <v>0</v>
      </c>
    </row>
    <row r="8" spans="1:13">
      <c r="A8" s="1">
        <f>HYPERLINK("http://www.twitter.com/NathanBLawrence/status/998939743629983745", "998939743629983745")</f>
        <v/>
      </c>
      <c r="B8" s="2" t="n">
        <v>43242.62</v>
      </c>
      <c r="C8" t="n">
        <v>0</v>
      </c>
      <c r="D8" t="n">
        <v>8</v>
      </c>
      <c r="E8" t="s">
        <v>19</v>
      </c>
      <c r="F8">
        <f>HYPERLINK("http://pbs.twimg.com/media/DdxjSOtUwAAyR9r.jpg", "http://pbs.twimg.com/media/DdxjSOtUwAAyR9r.jpg")</f>
        <v/>
      </c>
      <c r="G8" t="s"/>
      <c r="H8" t="s"/>
      <c r="I8" t="s"/>
      <c r="J8" t="n">
        <v>0</v>
      </c>
      <c r="K8" t="n">
        <v>0</v>
      </c>
      <c r="L8" t="n">
        <v>1</v>
      </c>
      <c r="M8" t="n">
        <v>0</v>
      </c>
    </row>
    <row r="9" spans="1:13">
      <c r="A9" s="1">
        <f>HYPERLINK("http://www.twitter.com/NathanBLawrence/status/998939368994689024", "998939368994689024")</f>
        <v/>
      </c>
      <c r="B9" s="2" t="n">
        <v>43242.61896990741</v>
      </c>
      <c r="C9" t="n">
        <v>0</v>
      </c>
      <c r="D9" t="n">
        <v>17</v>
      </c>
      <c r="E9" t="s">
        <v>20</v>
      </c>
      <c r="F9" t="s"/>
      <c r="G9" t="s"/>
      <c r="H9" t="s"/>
      <c r="I9" t="s"/>
      <c r="J9" t="n">
        <v>-0.6486</v>
      </c>
      <c r="K9" t="n">
        <v>0.209</v>
      </c>
      <c r="L9" t="n">
        <v>0.791</v>
      </c>
      <c r="M9" t="n">
        <v>0</v>
      </c>
    </row>
    <row r="10" spans="1:13">
      <c r="A10" s="1">
        <f>HYPERLINK("http://www.twitter.com/NathanBLawrence/status/998938919306608640", "998938919306608640")</f>
        <v/>
      </c>
      <c r="B10" s="2" t="n">
        <v>43242.61773148148</v>
      </c>
      <c r="C10" t="n">
        <v>0</v>
      </c>
      <c r="D10" t="n">
        <v>5</v>
      </c>
      <c r="E10" t="s">
        <v>21</v>
      </c>
      <c r="F10" t="s"/>
      <c r="G10" t="s"/>
      <c r="H10" t="s"/>
      <c r="I10" t="s"/>
      <c r="J10" t="n">
        <v>0</v>
      </c>
      <c r="K10" t="n">
        <v>0</v>
      </c>
      <c r="L10" t="n">
        <v>1</v>
      </c>
      <c r="M10" t="n">
        <v>0</v>
      </c>
    </row>
    <row r="11" spans="1:13">
      <c r="A11" s="1">
        <f>HYPERLINK("http://www.twitter.com/NathanBLawrence/status/998938215506526209", "998938215506526209")</f>
        <v/>
      </c>
      <c r="B11" s="2" t="n">
        <v>43242.61578703704</v>
      </c>
      <c r="C11" t="n">
        <v>0</v>
      </c>
      <c r="D11" t="n">
        <v>5</v>
      </c>
      <c r="E11" t="s">
        <v>22</v>
      </c>
      <c r="F11" t="s"/>
      <c r="G11" t="s"/>
      <c r="H11" t="s"/>
      <c r="I11" t="s"/>
      <c r="J11" t="n">
        <v>0.128</v>
      </c>
      <c r="K11" t="n">
        <v>0.097</v>
      </c>
      <c r="L11" t="n">
        <v>0.783</v>
      </c>
      <c r="M11" t="n">
        <v>0.12</v>
      </c>
    </row>
    <row r="12" spans="1:13">
      <c r="A12" s="1">
        <f>HYPERLINK("http://www.twitter.com/NathanBLawrence/status/998938068861173763", "998938068861173763")</f>
        <v/>
      </c>
      <c r="B12" s="2" t="n">
        <v>43242.61538194444</v>
      </c>
      <c r="C12" t="n">
        <v>0</v>
      </c>
      <c r="D12" t="n">
        <v>7</v>
      </c>
      <c r="E12" t="s">
        <v>23</v>
      </c>
      <c r="F12" t="s"/>
      <c r="G12" t="s"/>
      <c r="H12" t="s"/>
      <c r="I12" t="s"/>
      <c r="J12" t="n">
        <v>-0.5707</v>
      </c>
      <c r="K12" t="n">
        <v>0.15</v>
      </c>
      <c r="L12" t="n">
        <v>0.85</v>
      </c>
      <c r="M12" t="n">
        <v>0</v>
      </c>
    </row>
    <row r="13" spans="1:13">
      <c r="A13" s="1">
        <f>HYPERLINK("http://www.twitter.com/NathanBLawrence/status/998937982093557763", "998937982093557763")</f>
        <v/>
      </c>
      <c r="B13" s="2" t="n">
        <v>43242.61513888889</v>
      </c>
      <c r="C13" t="n">
        <v>0</v>
      </c>
      <c r="D13" t="n">
        <v>7</v>
      </c>
      <c r="E13" t="s">
        <v>24</v>
      </c>
      <c r="F13" t="s"/>
      <c r="G13" t="s"/>
      <c r="H13" t="s"/>
      <c r="I13" t="s"/>
      <c r="J13" t="n">
        <v>-0.4404</v>
      </c>
      <c r="K13" t="n">
        <v>0.127</v>
      </c>
      <c r="L13" t="n">
        <v>0.873</v>
      </c>
      <c r="M13" t="n">
        <v>0</v>
      </c>
    </row>
    <row r="14" spans="1:13">
      <c r="A14" s="1">
        <f>HYPERLINK("http://www.twitter.com/NathanBLawrence/status/998937797074407425", "998937797074407425")</f>
        <v/>
      </c>
      <c r="B14" s="2" t="n">
        <v>43242.61462962963</v>
      </c>
      <c r="C14" t="n">
        <v>0</v>
      </c>
      <c r="D14" t="n">
        <v>13</v>
      </c>
      <c r="E14" t="s">
        <v>25</v>
      </c>
      <c r="F14">
        <f>HYPERLINK("https://video.twimg.com/ext_tw_video/998795753848897539/pu/vid/1280x720/irHPzQawOL56eybL.mp4?tag=3", "https://video.twimg.com/ext_tw_video/998795753848897539/pu/vid/1280x720/irHPzQawOL56eybL.mp4?tag=3")</f>
        <v/>
      </c>
      <c r="G14" t="s"/>
      <c r="H14" t="s"/>
      <c r="I14" t="s"/>
      <c r="J14" t="n">
        <v>0.1338</v>
      </c>
      <c r="K14" t="n">
        <v>0.108</v>
      </c>
      <c r="L14" t="n">
        <v>0.762</v>
      </c>
      <c r="M14" t="n">
        <v>0.129</v>
      </c>
    </row>
    <row r="15" spans="1:13">
      <c r="A15" s="1">
        <f>HYPERLINK("http://www.twitter.com/NathanBLawrence/status/998935992479371264", "998935992479371264")</f>
        <v/>
      </c>
      <c r="B15" s="2" t="n">
        <v>43242.60965277778</v>
      </c>
      <c r="C15" t="n">
        <v>0</v>
      </c>
      <c r="D15" t="n">
        <v>0</v>
      </c>
      <c r="E15" t="s">
        <v>26</v>
      </c>
      <c r="F15" t="s"/>
      <c r="G15" t="s"/>
      <c r="H15" t="s"/>
      <c r="I15" t="s"/>
      <c r="J15" t="n">
        <v>0.6688</v>
      </c>
      <c r="K15" t="n">
        <v>0.048</v>
      </c>
      <c r="L15" t="n">
        <v>0.782</v>
      </c>
      <c r="M15" t="n">
        <v>0.169</v>
      </c>
    </row>
    <row r="16" spans="1:13">
      <c r="A16" s="1">
        <f>HYPERLINK("http://www.twitter.com/NathanBLawrence/status/998934449541734401", "998934449541734401")</f>
        <v/>
      </c>
      <c r="B16" s="2" t="n">
        <v>43242.60539351852</v>
      </c>
      <c r="C16" t="n">
        <v>0</v>
      </c>
      <c r="D16" t="n">
        <v>11</v>
      </c>
      <c r="E16" t="s">
        <v>27</v>
      </c>
      <c r="F16" t="s"/>
      <c r="G16" t="s"/>
      <c r="H16" t="s"/>
      <c r="I16" t="s"/>
      <c r="J16" t="n">
        <v>0.4648</v>
      </c>
      <c r="K16" t="n">
        <v>0</v>
      </c>
      <c r="L16" t="n">
        <v>0.856</v>
      </c>
      <c r="M16" t="n">
        <v>0.144</v>
      </c>
    </row>
    <row r="17" spans="1:13">
      <c r="A17" s="1">
        <f>HYPERLINK("http://www.twitter.com/NathanBLawrence/status/998802439003295744", "998802439003295744")</f>
        <v/>
      </c>
      <c r="B17" s="2" t="n">
        <v>43242.24111111111</v>
      </c>
      <c r="C17" t="n">
        <v>3</v>
      </c>
      <c r="D17" t="n">
        <v>2</v>
      </c>
      <c r="E17" t="s">
        <v>28</v>
      </c>
      <c r="F17" t="s"/>
      <c r="G17" t="s"/>
      <c r="H17" t="s"/>
      <c r="I17" t="s"/>
      <c r="J17" t="n">
        <v>0.7269</v>
      </c>
      <c r="K17" t="n">
        <v>0</v>
      </c>
      <c r="L17" t="n">
        <v>0.792</v>
      </c>
      <c r="M17" t="n">
        <v>0.208</v>
      </c>
    </row>
    <row r="18" spans="1:13">
      <c r="A18" s="1">
        <f>HYPERLINK("http://www.twitter.com/NathanBLawrence/status/998801964149321728", "998801964149321728")</f>
        <v/>
      </c>
      <c r="B18" s="2" t="n">
        <v>43242.23980324074</v>
      </c>
      <c r="C18" t="n">
        <v>0</v>
      </c>
      <c r="D18" t="n">
        <v>19</v>
      </c>
      <c r="E18" t="s">
        <v>29</v>
      </c>
      <c r="F18">
        <f>HYPERLINK("http://pbs.twimg.com/media/DdRS4JJWsAAuP3O.jpg", "http://pbs.twimg.com/media/DdRS4JJWsAAuP3O.jpg")</f>
        <v/>
      </c>
      <c r="G18" t="s"/>
      <c r="H18" t="s"/>
      <c r="I18" t="s"/>
      <c r="J18" t="n">
        <v>0.6249</v>
      </c>
      <c r="K18" t="n">
        <v>0</v>
      </c>
      <c r="L18" t="n">
        <v>0.854</v>
      </c>
      <c r="M18" t="n">
        <v>0.146</v>
      </c>
    </row>
    <row r="19" spans="1:13">
      <c r="A19" s="1">
        <f>HYPERLINK("http://www.twitter.com/NathanBLawrence/status/998801859639824384", "998801859639824384")</f>
        <v/>
      </c>
      <c r="B19" s="2" t="n">
        <v>43242.23951388889</v>
      </c>
      <c r="C19" t="n">
        <v>0</v>
      </c>
      <c r="D19" t="n">
        <v>32</v>
      </c>
      <c r="E19" t="s">
        <v>30</v>
      </c>
      <c r="F19">
        <f>HYPERLINK("https://video.twimg.com/ext_tw_video/998715155536990208/pu/vid/604x360/WM_dM28YwUC_4WI8.mp4?tag=3", "https://video.twimg.com/ext_tw_video/998715155536990208/pu/vid/604x360/WM_dM28YwUC_4WI8.mp4?tag=3")</f>
        <v/>
      </c>
      <c r="G19" t="s"/>
      <c r="H19" t="s"/>
      <c r="I19" t="s"/>
      <c r="J19" t="n">
        <v>0.1779</v>
      </c>
      <c r="K19" t="n">
        <v>0.101</v>
      </c>
      <c r="L19" t="n">
        <v>0.769</v>
      </c>
      <c r="M19" t="n">
        <v>0.13</v>
      </c>
    </row>
    <row r="20" spans="1:13">
      <c r="A20" s="1">
        <f>HYPERLINK("http://www.twitter.com/NathanBLawrence/status/998796177377128449", "998796177377128449")</f>
        <v/>
      </c>
      <c r="B20" s="2" t="n">
        <v>43242.22384259259</v>
      </c>
      <c r="C20" t="n">
        <v>0</v>
      </c>
      <c r="D20" t="n">
        <v>1</v>
      </c>
      <c r="E20" t="s">
        <v>31</v>
      </c>
      <c r="F20" t="s"/>
      <c r="G20" t="s"/>
      <c r="H20" t="s"/>
      <c r="I20" t="s"/>
      <c r="J20" t="n">
        <v>0</v>
      </c>
      <c r="K20" t="n">
        <v>0</v>
      </c>
      <c r="L20" t="n">
        <v>1</v>
      </c>
      <c r="M20" t="n">
        <v>0</v>
      </c>
    </row>
    <row r="21" spans="1:13">
      <c r="A21" s="1">
        <f>HYPERLINK("http://www.twitter.com/NathanBLawrence/status/998795833632935936", "998795833632935936")</f>
        <v/>
      </c>
      <c r="B21" s="2" t="n">
        <v>43242.22289351852</v>
      </c>
      <c r="C21" t="n">
        <v>0</v>
      </c>
      <c r="D21" t="n">
        <v>5</v>
      </c>
      <c r="E21" t="s">
        <v>32</v>
      </c>
      <c r="F21" t="s"/>
      <c r="G21" t="s"/>
      <c r="H21" t="s"/>
      <c r="I21" t="s"/>
      <c r="J21" t="n">
        <v>0.4588</v>
      </c>
      <c r="K21" t="n">
        <v>0</v>
      </c>
      <c r="L21" t="n">
        <v>0.885</v>
      </c>
      <c r="M21" t="n">
        <v>0.115</v>
      </c>
    </row>
    <row r="22" spans="1:13">
      <c r="A22" s="1">
        <f>HYPERLINK("http://www.twitter.com/NathanBLawrence/status/998795751139377152", "998795751139377152")</f>
        <v/>
      </c>
      <c r="B22" s="2" t="n">
        <v>43242.22266203703</v>
      </c>
      <c r="C22" t="n">
        <v>0</v>
      </c>
      <c r="D22" t="n">
        <v>8</v>
      </c>
      <c r="E22" t="s">
        <v>33</v>
      </c>
      <c r="F22" t="s"/>
      <c r="G22" t="s"/>
      <c r="H22" t="s"/>
      <c r="I22" t="s"/>
      <c r="J22" t="n">
        <v>0</v>
      </c>
      <c r="K22" t="n">
        <v>0</v>
      </c>
      <c r="L22" t="n">
        <v>1</v>
      </c>
      <c r="M22" t="n">
        <v>0</v>
      </c>
    </row>
    <row r="23" spans="1:13">
      <c r="A23" s="1">
        <f>HYPERLINK("http://www.twitter.com/NathanBLawrence/status/998795693643845633", "998795693643845633")</f>
        <v/>
      </c>
      <c r="B23" s="2" t="n">
        <v>43242.2225</v>
      </c>
      <c r="C23" t="n">
        <v>0</v>
      </c>
      <c r="D23" t="n">
        <v>5</v>
      </c>
      <c r="E23" t="s">
        <v>34</v>
      </c>
      <c r="F23" t="s"/>
      <c r="G23" t="s"/>
      <c r="H23" t="s"/>
      <c r="I23" t="s"/>
      <c r="J23" t="n">
        <v>0</v>
      </c>
      <c r="K23" t="n">
        <v>0</v>
      </c>
      <c r="L23" t="n">
        <v>1</v>
      </c>
      <c r="M23" t="n">
        <v>0</v>
      </c>
    </row>
    <row r="24" spans="1:13">
      <c r="A24" s="1">
        <f>HYPERLINK("http://www.twitter.com/NathanBLawrence/status/998795273018068992", "998795273018068992")</f>
        <v/>
      </c>
      <c r="B24" s="2" t="n">
        <v>43242.22134259259</v>
      </c>
      <c r="C24" t="n">
        <v>0</v>
      </c>
      <c r="D24" t="n">
        <v>4</v>
      </c>
      <c r="E24" t="s">
        <v>35</v>
      </c>
      <c r="F24" t="s"/>
      <c r="G24" t="s"/>
      <c r="H24" t="s"/>
      <c r="I24" t="s"/>
      <c r="J24" t="n">
        <v>0</v>
      </c>
      <c r="K24" t="n">
        <v>0</v>
      </c>
      <c r="L24" t="n">
        <v>1</v>
      </c>
      <c r="M24" t="n">
        <v>0</v>
      </c>
    </row>
    <row r="25" spans="1:13">
      <c r="A25" s="1">
        <f>HYPERLINK("http://www.twitter.com/NathanBLawrence/status/998795151681044480", "998795151681044480")</f>
        <v/>
      </c>
      <c r="B25" s="2" t="n">
        <v>43242.22100694444</v>
      </c>
      <c r="C25" t="n">
        <v>0</v>
      </c>
      <c r="D25" t="n">
        <v>7</v>
      </c>
      <c r="E25" t="s">
        <v>36</v>
      </c>
      <c r="F25" t="s"/>
      <c r="G25" t="s"/>
      <c r="H25" t="s"/>
      <c r="I25" t="s"/>
      <c r="J25" t="n">
        <v>0</v>
      </c>
      <c r="K25" t="n">
        <v>0</v>
      </c>
      <c r="L25" t="n">
        <v>1</v>
      </c>
      <c r="M25" t="n">
        <v>0</v>
      </c>
    </row>
    <row r="26" spans="1:13">
      <c r="A26" s="1">
        <f>HYPERLINK("http://www.twitter.com/NathanBLawrence/status/998794963885305856", "998794963885305856")</f>
        <v/>
      </c>
      <c r="B26" s="2" t="n">
        <v>43242.22048611111</v>
      </c>
      <c r="C26" t="n">
        <v>0</v>
      </c>
      <c r="D26" t="n">
        <v>12</v>
      </c>
      <c r="E26" t="s">
        <v>37</v>
      </c>
      <c r="F26">
        <f>HYPERLINK("http://pbs.twimg.com/media/DdiLNLrVwAA7uNN.jpg", "http://pbs.twimg.com/media/DdiLNLrVwAA7uNN.jpg")</f>
        <v/>
      </c>
      <c r="G26" t="s"/>
      <c r="H26" t="s"/>
      <c r="I26" t="s"/>
      <c r="J26" t="n">
        <v>-0.3382</v>
      </c>
      <c r="K26" t="n">
        <v>0.098</v>
      </c>
      <c r="L26" t="n">
        <v>0.902</v>
      </c>
      <c r="M26" t="n">
        <v>0</v>
      </c>
    </row>
    <row r="27" spans="1:13">
      <c r="A27" s="1">
        <f>HYPERLINK("http://www.twitter.com/NathanBLawrence/status/998794798009008128", "998794798009008128")</f>
        <v/>
      </c>
      <c r="B27" s="2" t="n">
        <v>43242.22003472222</v>
      </c>
      <c r="C27" t="n">
        <v>0</v>
      </c>
      <c r="D27" t="n">
        <v>11</v>
      </c>
      <c r="E27" t="s">
        <v>38</v>
      </c>
      <c r="F27" t="s"/>
      <c r="G27" t="s"/>
      <c r="H27" t="s"/>
      <c r="I27" t="s"/>
      <c r="J27" t="n">
        <v>0.2023</v>
      </c>
      <c r="K27" t="n">
        <v>0.08799999999999999</v>
      </c>
      <c r="L27" t="n">
        <v>0.787</v>
      </c>
      <c r="M27" t="n">
        <v>0.125</v>
      </c>
    </row>
    <row r="28" spans="1:13">
      <c r="A28" s="1">
        <f>HYPERLINK("http://www.twitter.com/NathanBLawrence/status/998794662084100096", "998794662084100096")</f>
        <v/>
      </c>
      <c r="B28" s="2" t="n">
        <v>43242.21965277778</v>
      </c>
      <c r="C28" t="n">
        <v>0</v>
      </c>
      <c r="D28" t="n">
        <v>7</v>
      </c>
      <c r="E28" t="s">
        <v>39</v>
      </c>
      <c r="F28">
        <f>HYPERLINK("http://pbs.twimg.com/media/Ddqyxh2V4AAzjcT.jpg", "http://pbs.twimg.com/media/Ddqyxh2V4AAzjcT.jpg")</f>
        <v/>
      </c>
      <c r="G28">
        <f>HYPERLINK("http://pbs.twimg.com/media/Ddqyxh1UwAEEIHu.jpg", "http://pbs.twimg.com/media/Ddqyxh1UwAEEIHu.jpg")</f>
        <v/>
      </c>
      <c r="H28">
        <f>HYPERLINK("http://pbs.twimg.com/media/Ddqyxh0UQAEnGWI.jpg", "http://pbs.twimg.com/media/Ddqyxh0UQAEnGWI.jpg")</f>
        <v/>
      </c>
      <c r="I28">
        <f>HYPERLINK("http://pbs.twimg.com/media/DdqyxhyU8AE0DlJ.jpg", "http://pbs.twimg.com/media/DdqyxhyU8AE0DlJ.jpg")</f>
        <v/>
      </c>
      <c r="J28" t="n">
        <v>-0.6476</v>
      </c>
      <c r="K28" t="n">
        <v>0.209</v>
      </c>
      <c r="L28" t="n">
        <v>0.791</v>
      </c>
      <c r="M28" t="n">
        <v>0</v>
      </c>
    </row>
    <row r="29" spans="1:13">
      <c r="A29" s="1">
        <f>HYPERLINK("http://www.twitter.com/NathanBLawrence/status/998794468789637121", "998794468789637121")</f>
        <v/>
      </c>
      <c r="B29" s="2" t="n">
        <v>43242.21912037037</v>
      </c>
      <c r="C29" t="n">
        <v>0</v>
      </c>
      <c r="D29" t="n">
        <v>7</v>
      </c>
      <c r="E29" t="s">
        <v>40</v>
      </c>
      <c r="F29">
        <f>HYPERLINK("http://pbs.twimg.com/media/DdqpAeJU8AABOWQ.jpg", "http://pbs.twimg.com/media/DdqpAeJU8AABOWQ.jpg")</f>
        <v/>
      </c>
      <c r="G29" t="s"/>
      <c r="H29" t="s"/>
      <c r="I29" t="s"/>
      <c r="J29" t="n">
        <v>0.6588000000000001</v>
      </c>
      <c r="K29" t="n">
        <v>0</v>
      </c>
      <c r="L29" t="n">
        <v>0.785</v>
      </c>
      <c r="M29" t="n">
        <v>0.215</v>
      </c>
    </row>
    <row r="30" spans="1:13">
      <c r="A30" s="1">
        <f>HYPERLINK("http://www.twitter.com/NathanBLawrence/status/998794359884656641", "998794359884656641")</f>
        <v/>
      </c>
      <c r="B30" s="2" t="n">
        <v>43242.21881944445</v>
      </c>
      <c r="C30" t="n">
        <v>0</v>
      </c>
      <c r="D30" t="n">
        <v>6</v>
      </c>
      <c r="E30" t="s">
        <v>41</v>
      </c>
      <c r="F30" t="s"/>
      <c r="G30" t="s"/>
      <c r="H30" t="s"/>
      <c r="I30" t="s"/>
      <c r="J30" t="n">
        <v>-0.6249</v>
      </c>
      <c r="K30" t="n">
        <v>0.212</v>
      </c>
      <c r="L30" t="n">
        <v>0.734</v>
      </c>
      <c r="M30" t="n">
        <v>0.054</v>
      </c>
    </row>
    <row r="31" spans="1:13">
      <c r="A31" s="1">
        <f>HYPERLINK("http://www.twitter.com/NathanBLawrence/status/998794083068919808", "998794083068919808")</f>
        <v/>
      </c>
      <c r="B31" s="2" t="n">
        <v>43242.21805555555</v>
      </c>
      <c r="C31" t="n">
        <v>0</v>
      </c>
      <c r="D31" t="n">
        <v>5</v>
      </c>
      <c r="E31" t="s">
        <v>42</v>
      </c>
      <c r="F31" t="s"/>
      <c r="G31" t="s"/>
      <c r="H31" t="s"/>
      <c r="I31" t="s"/>
      <c r="J31" t="n">
        <v>-0.2808</v>
      </c>
      <c r="K31" t="n">
        <v>0.106</v>
      </c>
      <c r="L31" t="n">
        <v>0.894</v>
      </c>
      <c r="M31" t="n">
        <v>0</v>
      </c>
    </row>
    <row r="32" spans="1:13">
      <c r="A32" s="1">
        <f>HYPERLINK("http://www.twitter.com/NathanBLawrence/status/998793562195034112", "998793562195034112")</f>
        <v/>
      </c>
      <c r="B32" s="2" t="n">
        <v>43242.21662037037</v>
      </c>
      <c r="C32" t="n">
        <v>0</v>
      </c>
      <c r="D32" t="n">
        <v>14</v>
      </c>
      <c r="E32" t="s">
        <v>43</v>
      </c>
      <c r="F32" t="s"/>
      <c r="G32" t="s"/>
      <c r="H32" t="s"/>
      <c r="I32" t="s"/>
      <c r="J32" t="n">
        <v>0</v>
      </c>
      <c r="K32" t="n">
        <v>0</v>
      </c>
      <c r="L32" t="n">
        <v>1</v>
      </c>
      <c r="M32" t="n">
        <v>0</v>
      </c>
    </row>
    <row r="33" spans="1:13">
      <c r="A33" s="1">
        <f>HYPERLINK("http://www.twitter.com/NathanBLawrence/status/998793435321528320", "998793435321528320")</f>
        <v/>
      </c>
      <c r="B33" s="2" t="n">
        <v>43242.21627314815</v>
      </c>
      <c r="C33" t="n">
        <v>0</v>
      </c>
      <c r="D33" t="n">
        <v>7</v>
      </c>
      <c r="E33" t="s">
        <v>44</v>
      </c>
      <c r="F33" t="s"/>
      <c r="G33" t="s"/>
      <c r="H33" t="s"/>
      <c r="I33" t="s"/>
      <c r="J33" t="n">
        <v>-0.6067</v>
      </c>
      <c r="K33" t="n">
        <v>0.236</v>
      </c>
      <c r="L33" t="n">
        <v>0.764</v>
      </c>
      <c r="M33" t="n">
        <v>0</v>
      </c>
    </row>
    <row r="34" spans="1:13">
      <c r="A34" s="1">
        <f>HYPERLINK("http://www.twitter.com/NathanBLawrence/status/998793197974269952", "998793197974269952")</f>
        <v/>
      </c>
      <c r="B34" s="2" t="n">
        <v>43242.21561342593</v>
      </c>
      <c r="C34" t="n">
        <v>0</v>
      </c>
      <c r="D34" t="n">
        <v>11</v>
      </c>
      <c r="E34" t="s">
        <v>45</v>
      </c>
      <c r="F34">
        <f>HYPERLINK("http://pbs.twimg.com/media/DdkUo_lU0AA_37V.jpg", "http://pbs.twimg.com/media/DdkUo_lU0AA_37V.jpg")</f>
        <v/>
      </c>
      <c r="G34" t="s"/>
      <c r="H34" t="s"/>
      <c r="I34" t="s"/>
      <c r="J34" t="n">
        <v>0</v>
      </c>
      <c r="K34" t="n">
        <v>0</v>
      </c>
      <c r="L34" t="n">
        <v>1</v>
      </c>
      <c r="M34" t="n">
        <v>0</v>
      </c>
    </row>
    <row r="35" spans="1:13">
      <c r="A35" s="1">
        <f>HYPERLINK("http://www.twitter.com/NathanBLawrence/status/998793153669877761", "998793153669877761")</f>
        <v/>
      </c>
      <c r="B35" s="2" t="n">
        <v>43242.21549768518</v>
      </c>
      <c r="C35" t="n">
        <v>0</v>
      </c>
      <c r="D35" t="n">
        <v>89</v>
      </c>
      <c r="E35" t="s">
        <v>46</v>
      </c>
      <c r="F35" t="s"/>
      <c r="G35" t="s"/>
      <c r="H35" t="s"/>
      <c r="I35" t="s"/>
      <c r="J35" t="n">
        <v>0.2023</v>
      </c>
      <c r="K35" t="n">
        <v>0.075</v>
      </c>
      <c r="L35" t="n">
        <v>0.821</v>
      </c>
      <c r="M35" t="n">
        <v>0.104</v>
      </c>
    </row>
    <row r="36" spans="1:13">
      <c r="A36" s="1">
        <f>HYPERLINK("http://www.twitter.com/NathanBLawrence/status/998793029963018240", "998793029963018240")</f>
        <v/>
      </c>
      <c r="B36" s="2" t="n">
        <v>43242.21515046297</v>
      </c>
      <c r="C36" t="n">
        <v>0</v>
      </c>
      <c r="D36" t="n">
        <v>28</v>
      </c>
      <c r="E36" t="s">
        <v>47</v>
      </c>
      <c r="F36" t="s"/>
      <c r="G36" t="s"/>
      <c r="H36" t="s"/>
      <c r="I36" t="s"/>
      <c r="J36" t="n">
        <v>0.6705</v>
      </c>
      <c r="K36" t="n">
        <v>0</v>
      </c>
      <c r="L36" t="n">
        <v>0.756</v>
      </c>
      <c r="M36" t="n">
        <v>0.244</v>
      </c>
    </row>
    <row r="37" spans="1:13">
      <c r="A37" s="1">
        <f>HYPERLINK("http://www.twitter.com/NathanBLawrence/status/998792927022202881", "998792927022202881")</f>
        <v/>
      </c>
      <c r="B37" s="2" t="n">
        <v>43242.21487268519</v>
      </c>
      <c r="C37" t="n">
        <v>0</v>
      </c>
      <c r="D37" t="n">
        <v>14</v>
      </c>
      <c r="E37" t="s">
        <v>48</v>
      </c>
      <c r="F37" t="s"/>
      <c r="G37" t="s"/>
      <c r="H37" t="s"/>
      <c r="I37" t="s"/>
      <c r="J37" t="n">
        <v>0.0516</v>
      </c>
      <c r="K37" t="n">
        <v>0.097</v>
      </c>
      <c r="L37" t="n">
        <v>0.798</v>
      </c>
      <c r="M37" t="n">
        <v>0.105</v>
      </c>
    </row>
    <row r="38" spans="1:13">
      <c r="A38" s="1">
        <f>HYPERLINK("http://www.twitter.com/NathanBLawrence/status/998792759321415680", "998792759321415680")</f>
        <v/>
      </c>
      <c r="B38" s="2" t="n">
        <v>43242.21440972222</v>
      </c>
      <c r="C38" t="n">
        <v>0</v>
      </c>
      <c r="D38" t="n">
        <v>16</v>
      </c>
      <c r="E38" t="s">
        <v>49</v>
      </c>
      <c r="F38" t="s"/>
      <c r="G38" t="s"/>
      <c r="H38" t="s"/>
      <c r="I38" t="s"/>
      <c r="J38" t="n">
        <v>0.6705</v>
      </c>
      <c r="K38" t="n">
        <v>0</v>
      </c>
      <c r="L38" t="n">
        <v>0.776</v>
      </c>
      <c r="M38" t="n">
        <v>0.224</v>
      </c>
    </row>
    <row r="39" spans="1:13">
      <c r="A39" s="1">
        <f>HYPERLINK("http://www.twitter.com/NathanBLawrence/status/998792718343028736", "998792718343028736")</f>
        <v/>
      </c>
      <c r="B39" s="2" t="n">
        <v>43242.21429398148</v>
      </c>
      <c r="C39" t="n">
        <v>0</v>
      </c>
      <c r="D39" t="n">
        <v>5</v>
      </c>
      <c r="E39" t="s">
        <v>50</v>
      </c>
      <c r="F39" t="s"/>
      <c r="G39" t="s"/>
      <c r="H39" t="s"/>
      <c r="I39" t="s"/>
      <c r="J39" t="n">
        <v>0.34</v>
      </c>
      <c r="K39" t="n">
        <v>0</v>
      </c>
      <c r="L39" t="n">
        <v>0.906</v>
      </c>
      <c r="M39" t="n">
        <v>0.094</v>
      </c>
    </row>
    <row r="40" spans="1:13">
      <c r="A40" s="1">
        <f>HYPERLINK("http://www.twitter.com/NathanBLawrence/status/998792519210057733", "998792519210057733")</f>
        <v/>
      </c>
      <c r="B40" s="2" t="n">
        <v>43242.21373842593</v>
      </c>
      <c r="C40" t="n">
        <v>0</v>
      </c>
      <c r="D40" t="n">
        <v>12</v>
      </c>
      <c r="E40" t="s">
        <v>51</v>
      </c>
      <c r="F40">
        <f>HYPERLINK("http://pbs.twimg.com/media/Ddlxeb7U8AAIKe2.jpg", "http://pbs.twimg.com/media/Ddlxeb7U8AAIKe2.jpg")</f>
        <v/>
      </c>
      <c r="G40" t="s"/>
      <c r="H40" t="s"/>
      <c r="I40" t="s"/>
      <c r="J40" t="n">
        <v>0.4404</v>
      </c>
      <c r="K40" t="n">
        <v>0</v>
      </c>
      <c r="L40" t="n">
        <v>0.892</v>
      </c>
      <c r="M40" t="n">
        <v>0.108</v>
      </c>
    </row>
    <row r="41" spans="1:13">
      <c r="A41" s="1">
        <f>HYPERLINK("http://www.twitter.com/NathanBLawrence/status/998791924868829185", "998791924868829185")</f>
        <v/>
      </c>
      <c r="B41" s="2" t="n">
        <v>43242.21210648148</v>
      </c>
      <c r="C41" t="n">
        <v>0</v>
      </c>
      <c r="D41" t="n">
        <v>11</v>
      </c>
      <c r="E41" t="s">
        <v>52</v>
      </c>
      <c r="F41" t="s"/>
      <c r="G41" t="s"/>
      <c r="H41" t="s"/>
      <c r="I41" t="s"/>
      <c r="J41" t="n">
        <v>-0.34</v>
      </c>
      <c r="K41" t="n">
        <v>0.175</v>
      </c>
      <c r="L41" t="n">
        <v>0.825</v>
      </c>
      <c r="M41" t="n">
        <v>0</v>
      </c>
    </row>
    <row r="42" spans="1:13">
      <c r="A42" s="1">
        <f>HYPERLINK("http://www.twitter.com/NathanBLawrence/status/998791842572333057", "998791842572333057")</f>
        <v/>
      </c>
      <c r="B42" s="2" t="n">
        <v>43242.211875</v>
      </c>
      <c r="C42" t="n">
        <v>0</v>
      </c>
      <c r="D42" t="n">
        <v>5</v>
      </c>
      <c r="E42" t="s">
        <v>53</v>
      </c>
      <c r="F42" t="s"/>
      <c r="G42" t="s"/>
      <c r="H42" t="s"/>
      <c r="I42" t="s"/>
      <c r="J42" t="n">
        <v>0.2263</v>
      </c>
      <c r="K42" t="n">
        <v>0</v>
      </c>
      <c r="L42" t="n">
        <v>0.909</v>
      </c>
      <c r="M42" t="n">
        <v>0.091</v>
      </c>
    </row>
    <row r="43" spans="1:13">
      <c r="A43" s="1">
        <f>HYPERLINK("http://www.twitter.com/NathanBLawrence/status/998791744954101760", "998791744954101760")</f>
        <v/>
      </c>
      <c r="B43" s="2" t="n">
        <v>43242.21160879629</v>
      </c>
      <c r="C43" t="n">
        <v>0</v>
      </c>
      <c r="D43" t="n">
        <v>4</v>
      </c>
      <c r="E43" t="s">
        <v>54</v>
      </c>
      <c r="F43">
        <f>HYPERLINK("http://pbs.twimg.com/media/Ddl6rVJV4AA-V5d.jpg", "http://pbs.twimg.com/media/Ddl6rVJV4AA-V5d.jpg")</f>
        <v/>
      </c>
      <c r="G43" t="s"/>
      <c r="H43" t="s"/>
      <c r="I43" t="s"/>
      <c r="J43" t="n">
        <v>0</v>
      </c>
      <c r="K43" t="n">
        <v>0</v>
      </c>
      <c r="L43" t="n">
        <v>1</v>
      </c>
      <c r="M43" t="n">
        <v>0</v>
      </c>
    </row>
    <row r="44" spans="1:13">
      <c r="A44" s="1">
        <f>HYPERLINK("http://www.twitter.com/NathanBLawrence/status/998791652759097345", "998791652759097345")</f>
        <v/>
      </c>
      <c r="B44" s="2" t="n">
        <v>43242.21135416667</v>
      </c>
      <c r="C44" t="n">
        <v>0</v>
      </c>
      <c r="D44" t="n">
        <v>21</v>
      </c>
      <c r="E44" t="s">
        <v>55</v>
      </c>
      <c r="F44" t="s"/>
      <c r="G44" t="s"/>
      <c r="H44" t="s"/>
      <c r="I44" t="s"/>
      <c r="J44" t="n">
        <v>-0.4019</v>
      </c>
      <c r="K44" t="n">
        <v>0.144</v>
      </c>
      <c r="L44" t="n">
        <v>0.856</v>
      </c>
      <c r="M44" t="n">
        <v>0</v>
      </c>
    </row>
    <row r="45" spans="1:13">
      <c r="A45" s="1">
        <f>HYPERLINK("http://www.twitter.com/NathanBLawrence/status/998791563969945600", "998791563969945600")</f>
        <v/>
      </c>
      <c r="B45" s="2" t="n">
        <v>43242.21111111111</v>
      </c>
      <c r="C45" t="n">
        <v>0</v>
      </c>
      <c r="D45" t="n">
        <v>4</v>
      </c>
      <c r="E45" t="s">
        <v>56</v>
      </c>
      <c r="F45">
        <f>HYPERLINK("http://pbs.twimg.com/media/DdhMjvrUQAAdZE5.jpg", "http://pbs.twimg.com/media/DdhMjvrUQAAdZE5.jpg")</f>
        <v/>
      </c>
      <c r="G45" t="s"/>
      <c r="H45" t="s"/>
      <c r="I45" t="s"/>
      <c r="J45" t="n">
        <v>0</v>
      </c>
      <c r="K45" t="n">
        <v>0</v>
      </c>
      <c r="L45" t="n">
        <v>1</v>
      </c>
      <c r="M45" t="n">
        <v>0</v>
      </c>
    </row>
    <row r="46" spans="1:13">
      <c r="A46" s="1">
        <f>HYPERLINK("http://www.twitter.com/NathanBLawrence/status/998791346818138112", "998791346818138112")</f>
        <v/>
      </c>
      <c r="B46" s="2" t="n">
        <v>43242.21050925926</v>
      </c>
      <c r="C46" t="n">
        <v>0</v>
      </c>
      <c r="D46" t="n">
        <v>7</v>
      </c>
      <c r="E46" t="s">
        <v>57</v>
      </c>
      <c r="F46" t="s"/>
      <c r="G46" t="s"/>
      <c r="H46" t="s"/>
      <c r="I46" t="s"/>
      <c r="J46" t="n">
        <v>-0.6808</v>
      </c>
      <c r="K46" t="n">
        <v>0.18</v>
      </c>
      <c r="L46" t="n">
        <v>0.82</v>
      </c>
      <c r="M46" t="n">
        <v>0</v>
      </c>
    </row>
    <row r="47" spans="1:13">
      <c r="A47" s="1">
        <f>HYPERLINK("http://www.twitter.com/NathanBLawrence/status/998791179251499008", "998791179251499008")</f>
        <v/>
      </c>
      <c r="B47" s="2" t="n">
        <v>43242.2100462963</v>
      </c>
      <c r="C47" t="n">
        <v>2</v>
      </c>
      <c r="D47" t="n">
        <v>2</v>
      </c>
      <c r="E47" t="s">
        <v>58</v>
      </c>
      <c r="F47" t="s"/>
      <c r="G47" t="s"/>
      <c r="H47" t="s"/>
      <c r="I47" t="s"/>
      <c r="J47" t="n">
        <v>0.128</v>
      </c>
      <c r="K47" t="n">
        <v>0</v>
      </c>
      <c r="L47" t="n">
        <v>0.88</v>
      </c>
      <c r="M47" t="n">
        <v>0.12</v>
      </c>
    </row>
    <row r="48" spans="1:13">
      <c r="A48" s="1">
        <f>HYPERLINK("http://www.twitter.com/NathanBLawrence/status/998790389912952832", "998790389912952832")</f>
        <v/>
      </c>
      <c r="B48" s="2" t="n">
        <v>43242.20787037037</v>
      </c>
      <c r="C48" t="n">
        <v>0</v>
      </c>
      <c r="D48" t="n">
        <v>0</v>
      </c>
      <c r="E48" t="s">
        <v>59</v>
      </c>
      <c r="F48" t="s"/>
      <c r="G48" t="s"/>
      <c r="H48" t="s"/>
      <c r="I48" t="s"/>
      <c r="J48" t="n">
        <v>-0.4019</v>
      </c>
      <c r="K48" t="n">
        <v>0.351</v>
      </c>
      <c r="L48" t="n">
        <v>0.649</v>
      </c>
      <c r="M48" t="n">
        <v>0</v>
      </c>
    </row>
    <row r="49" spans="1:13">
      <c r="A49" s="1">
        <f>HYPERLINK("http://www.twitter.com/NathanBLawrence/status/998788817657020416", "998788817657020416")</f>
        <v/>
      </c>
      <c r="B49" s="2" t="n">
        <v>43242.20353009259</v>
      </c>
      <c r="C49" t="n">
        <v>0</v>
      </c>
      <c r="D49" t="n">
        <v>7</v>
      </c>
      <c r="E49" t="s">
        <v>60</v>
      </c>
      <c r="F49">
        <f>HYPERLINK("http://pbs.twimg.com/media/DdWy4U1VQAA8U-m.jpg", "http://pbs.twimg.com/media/DdWy4U1VQAA8U-m.jpg")</f>
        <v/>
      </c>
      <c r="G49" t="s"/>
      <c r="H49" t="s"/>
      <c r="I49" t="s"/>
      <c r="J49" t="n">
        <v>-0.7906</v>
      </c>
      <c r="K49" t="n">
        <v>0.25</v>
      </c>
      <c r="L49" t="n">
        <v>0.75</v>
      </c>
      <c r="M49" t="n">
        <v>0</v>
      </c>
    </row>
    <row r="50" spans="1:13">
      <c r="A50" s="1">
        <f>HYPERLINK("http://www.twitter.com/NathanBLawrence/status/998788735519965185", "998788735519965185")</f>
        <v/>
      </c>
      <c r="B50" s="2" t="n">
        <v>43242.20329861111</v>
      </c>
      <c r="C50" t="n">
        <v>0</v>
      </c>
      <c r="D50" t="n">
        <v>10</v>
      </c>
      <c r="E50" t="s">
        <v>61</v>
      </c>
      <c r="F50">
        <f>HYPERLINK("http://pbs.twimg.com/media/DdVAbpjU0AEI-Nd.jpg", "http://pbs.twimg.com/media/DdVAbpjU0AEI-Nd.jpg")</f>
        <v/>
      </c>
      <c r="G50" t="s"/>
      <c r="H50" t="s"/>
      <c r="I50" t="s"/>
      <c r="J50" t="n">
        <v>0.3818</v>
      </c>
      <c r="K50" t="n">
        <v>0</v>
      </c>
      <c r="L50" t="n">
        <v>0.885</v>
      </c>
      <c r="M50" t="n">
        <v>0.115</v>
      </c>
    </row>
    <row r="51" spans="1:13">
      <c r="A51" s="1">
        <f>HYPERLINK("http://www.twitter.com/NathanBLawrence/status/998788466317053953", "998788466317053953")</f>
        <v/>
      </c>
      <c r="B51" s="2" t="n">
        <v>43242.20255787037</v>
      </c>
      <c r="C51" t="n">
        <v>0</v>
      </c>
      <c r="D51" t="n">
        <v>0</v>
      </c>
      <c r="E51" t="s">
        <v>62</v>
      </c>
      <c r="F51" t="s"/>
      <c r="G51" t="s"/>
      <c r="H51" t="s"/>
      <c r="I51" t="s"/>
      <c r="J51" t="n">
        <v>-0.8025</v>
      </c>
      <c r="K51" t="n">
        <v>0.195</v>
      </c>
      <c r="L51" t="n">
        <v>0.805</v>
      </c>
      <c r="M51" t="n">
        <v>0</v>
      </c>
    </row>
    <row r="52" spans="1:13">
      <c r="A52" s="1">
        <f>HYPERLINK("http://www.twitter.com/NathanBLawrence/status/998783809230286848", "998783809230286848")</f>
        <v/>
      </c>
      <c r="B52" s="2" t="n">
        <v>43242.18971064815</v>
      </c>
      <c r="C52" t="n">
        <v>0</v>
      </c>
      <c r="D52" t="n">
        <v>3</v>
      </c>
      <c r="E52" t="s">
        <v>63</v>
      </c>
      <c r="F52" t="s"/>
      <c r="G52" t="s"/>
      <c r="H52" t="s"/>
      <c r="I52" t="s"/>
      <c r="J52" t="n">
        <v>0</v>
      </c>
      <c r="K52" t="n">
        <v>0</v>
      </c>
      <c r="L52" t="n">
        <v>1</v>
      </c>
      <c r="M52" t="n">
        <v>0</v>
      </c>
    </row>
    <row r="53" spans="1:13">
      <c r="A53" s="1">
        <f>HYPERLINK("http://www.twitter.com/NathanBLawrence/status/998783348674719744", "998783348674719744")</f>
        <v/>
      </c>
      <c r="B53" s="2" t="n">
        <v>43242.1884375</v>
      </c>
      <c r="C53" t="n">
        <v>0</v>
      </c>
      <c r="D53" t="n">
        <v>18</v>
      </c>
      <c r="E53" t="s">
        <v>64</v>
      </c>
      <c r="F53" t="s"/>
      <c r="G53" t="s"/>
      <c r="H53" t="s"/>
      <c r="I53" t="s"/>
      <c r="J53" t="n">
        <v>0.7644</v>
      </c>
      <c r="K53" t="n">
        <v>0</v>
      </c>
      <c r="L53" t="n">
        <v>0.732</v>
      </c>
      <c r="M53" t="n">
        <v>0.268</v>
      </c>
    </row>
    <row r="54" spans="1:13">
      <c r="A54" s="1">
        <f>HYPERLINK("http://www.twitter.com/NathanBLawrence/status/998783022273937409", "998783022273937409")</f>
        <v/>
      </c>
      <c r="B54" s="2" t="n">
        <v>43242.18753472222</v>
      </c>
      <c r="C54" t="n">
        <v>0</v>
      </c>
      <c r="D54" t="n">
        <v>32</v>
      </c>
      <c r="E54" t="s">
        <v>65</v>
      </c>
      <c r="F54" t="s"/>
      <c r="G54" t="s"/>
      <c r="H54" t="s"/>
      <c r="I54" t="s"/>
      <c r="J54" t="n">
        <v>0.1779</v>
      </c>
      <c r="K54" t="n">
        <v>0.101</v>
      </c>
      <c r="L54" t="n">
        <v>0.769</v>
      </c>
      <c r="M54" t="n">
        <v>0.13</v>
      </c>
    </row>
    <row r="55" spans="1:13">
      <c r="A55" s="1">
        <f>HYPERLINK("http://www.twitter.com/NathanBLawrence/status/998782718577000449", "998782718577000449")</f>
        <v/>
      </c>
      <c r="B55" s="2" t="n">
        <v>43242.18670138889</v>
      </c>
      <c r="C55" t="n">
        <v>0</v>
      </c>
      <c r="D55" t="n">
        <v>5</v>
      </c>
      <c r="E55" t="s">
        <v>66</v>
      </c>
      <c r="F55">
        <f>HYPERLINK("http://pbs.twimg.com/media/DdvOsLhUwAYBWpZ.jpg", "http://pbs.twimg.com/media/DdvOsLhUwAYBWpZ.jpg")</f>
        <v/>
      </c>
      <c r="G55" t="s"/>
      <c r="H55" t="s"/>
      <c r="I55" t="s"/>
      <c r="J55" t="n">
        <v>-0.7007</v>
      </c>
      <c r="K55" t="n">
        <v>0.209</v>
      </c>
      <c r="L55" t="n">
        <v>0.791</v>
      </c>
      <c r="M55" t="n">
        <v>0</v>
      </c>
    </row>
    <row r="56" spans="1:13">
      <c r="A56" s="1">
        <f>HYPERLINK("http://www.twitter.com/NathanBLawrence/status/998782658627829761", "998782658627829761")</f>
        <v/>
      </c>
      <c r="B56" s="2" t="n">
        <v>43242.18652777778</v>
      </c>
      <c r="C56" t="n">
        <v>0</v>
      </c>
      <c r="D56" t="n">
        <v>24</v>
      </c>
      <c r="E56" t="s">
        <v>67</v>
      </c>
      <c r="F56">
        <f>HYPERLINK("http://pbs.twimg.com/media/Ddtx48ZVAAA0rLc.jpg", "http://pbs.twimg.com/media/Ddtx48ZVAAA0rLc.jpg")</f>
        <v/>
      </c>
      <c r="G56" t="s"/>
      <c r="H56" t="s"/>
      <c r="I56" t="s"/>
      <c r="J56" t="n">
        <v>-0.2387</v>
      </c>
      <c r="K56" t="n">
        <v>0.176</v>
      </c>
      <c r="L56" t="n">
        <v>0.6889999999999999</v>
      </c>
      <c r="M56" t="n">
        <v>0.135</v>
      </c>
    </row>
    <row r="57" spans="1:13">
      <c r="A57" s="1">
        <f>HYPERLINK("http://www.twitter.com/NathanBLawrence/status/998782526029119488", "998782526029119488")</f>
        <v/>
      </c>
      <c r="B57" s="2" t="n">
        <v>43242.18616898148</v>
      </c>
      <c r="C57" t="n">
        <v>0</v>
      </c>
      <c r="D57" t="n">
        <v>1</v>
      </c>
      <c r="E57" t="s">
        <v>68</v>
      </c>
      <c r="F57" t="s"/>
      <c r="G57" t="s"/>
      <c r="H57" t="s"/>
      <c r="I57" t="s"/>
      <c r="J57" t="n">
        <v>0</v>
      </c>
      <c r="K57" t="n">
        <v>0</v>
      </c>
      <c r="L57" t="n">
        <v>1</v>
      </c>
      <c r="M57" t="n">
        <v>0</v>
      </c>
    </row>
    <row r="58" spans="1:13">
      <c r="A58" s="1">
        <f>HYPERLINK("http://www.twitter.com/NathanBLawrence/status/998782464242823168", "998782464242823168")</f>
        <v/>
      </c>
      <c r="B58" s="2" t="n">
        <v>43242.18599537037</v>
      </c>
      <c r="C58" t="n">
        <v>0</v>
      </c>
      <c r="D58" t="n">
        <v>6</v>
      </c>
      <c r="E58" t="s">
        <v>69</v>
      </c>
      <c r="F58" t="s"/>
      <c r="G58" t="s"/>
      <c r="H58" t="s"/>
      <c r="I58" t="s"/>
      <c r="J58" t="n">
        <v>0.2244</v>
      </c>
      <c r="K58" t="n">
        <v>0</v>
      </c>
      <c r="L58" t="n">
        <v>0.888</v>
      </c>
      <c r="M58" t="n">
        <v>0.112</v>
      </c>
    </row>
    <row r="59" spans="1:13">
      <c r="A59" s="1">
        <f>HYPERLINK("http://www.twitter.com/NathanBLawrence/status/998782272982548480", "998782272982548480")</f>
        <v/>
      </c>
      <c r="B59" s="2" t="n">
        <v>43242.18547453704</v>
      </c>
      <c r="C59" t="n">
        <v>0</v>
      </c>
      <c r="D59" t="n">
        <v>196</v>
      </c>
      <c r="E59" t="s">
        <v>70</v>
      </c>
      <c r="F59">
        <f>HYPERLINK("http://pbs.twimg.com/media/DdqCIOpVMAE4bp_.jpg", "http://pbs.twimg.com/media/DdqCIOpVMAE4bp_.jpg")</f>
        <v/>
      </c>
      <c r="G59" t="s"/>
      <c r="H59" t="s"/>
      <c r="I59" t="s"/>
      <c r="J59" t="n">
        <v>0</v>
      </c>
      <c r="K59" t="n">
        <v>0</v>
      </c>
      <c r="L59" t="n">
        <v>1</v>
      </c>
      <c r="M59" t="n">
        <v>0</v>
      </c>
    </row>
    <row r="60" spans="1:13">
      <c r="A60" s="1">
        <f>HYPERLINK("http://www.twitter.com/NathanBLawrence/status/998781803790942209", "998781803790942209")</f>
        <v/>
      </c>
      <c r="B60" s="2" t="n">
        <v>43242.18417824074</v>
      </c>
      <c r="C60" t="n">
        <v>0</v>
      </c>
      <c r="D60" t="n">
        <v>3</v>
      </c>
      <c r="E60" t="s">
        <v>71</v>
      </c>
      <c r="F60">
        <f>HYPERLINK("http://pbs.twimg.com/media/DdnVu-aUwAYuR2q.jpg", "http://pbs.twimg.com/media/DdnVu-aUwAYuR2q.jpg")</f>
        <v/>
      </c>
      <c r="G60" t="s"/>
      <c r="H60" t="s"/>
      <c r="I60" t="s"/>
      <c r="J60" t="n">
        <v>0</v>
      </c>
      <c r="K60" t="n">
        <v>0</v>
      </c>
      <c r="L60" t="n">
        <v>1</v>
      </c>
      <c r="M60" t="n">
        <v>0</v>
      </c>
    </row>
    <row r="61" spans="1:13">
      <c r="A61" s="1">
        <f>HYPERLINK("http://www.twitter.com/NathanBLawrence/status/998781112515153920", "998781112515153920")</f>
        <v/>
      </c>
      <c r="B61" s="2" t="n">
        <v>43242.18226851852</v>
      </c>
      <c r="C61" t="n">
        <v>0</v>
      </c>
      <c r="D61" t="n">
        <v>226</v>
      </c>
      <c r="E61" t="s">
        <v>72</v>
      </c>
      <c r="F61" t="s"/>
      <c r="G61" t="s"/>
      <c r="H61" t="s"/>
      <c r="I61" t="s"/>
      <c r="J61" t="n">
        <v>0</v>
      </c>
      <c r="K61" t="n">
        <v>0</v>
      </c>
      <c r="L61" t="n">
        <v>1</v>
      </c>
      <c r="M61" t="n">
        <v>0</v>
      </c>
    </row>
    <row r="62" spans="1:13">
      <c r="A62" s="1">
        <f>HYPERLINK("http://www.twitter.com/NathanBLawrence/status/998781039546847232", "998781039546847232")</f>
        <v/>
      </c>
      <c r="B62" s="2" t="n">
        <v>43242.18206018519</v>
      </c>
      <c r="C62" t="n">
        <v>0</v>
      </c>
      <c r="D62" t="n">
        <v>15</v>
      </c>
      <c r="E62" t="s">
        <v>73</v>
      </c>
      <c r="F62">
        <f>HYPERLINK("http://pbs.twimg.com/media/DdfJF3VU8AAJguQ.jpg", "http://pbs.twimg.com/media/DdfJF3VU8AAJguQ.jpg")</f>
        <v/>
      </c>
      <c r="G62" t="s"/>
      <c r="H62" t="s"/>
      <c r="I62" t="s"/>
      <c r="J62" t="n">
        <v>0.4404</v>
      </c>
      <c r="K62" t="n">
        <v>0</v>
      </c>
      <c r="L62" t="n">
        <v>0.892</v>
      </c>
      <c r="M62" t="n">
        <v>0.108</v>
      </c>
    </row>
    <row r="63" spans="1:13">
      <c r="A63" s="1">
        <f>HYPERLINK("http://www.twitter.com/NathanBLawrence/status/998780604941402112", "998780604941402112")</f>
        <v/>
      </c>
      <c r="B63" s="2" t="n">
        <v>43242.18086805556</v>
      </c>
      <c r="C63" t="n">
        <v>0</v>
      </c>
      <c r="D63" t="n">
        <v>2</v>
      </c>
      <c r="E63" t="s">
        <v>74</v>
      </c>
      <c r="F63" t="s"/>
      <c r="G63" t="s"/>
      <c r="H63" t="s"/>
      <c r="I63" t="s"/>
      <c r="J63" t="n">
        <v>0.7506</v>
      </c>
      <c r="K63" t="n">
        <v>0</v>
      </c>
      <c r="L63" t="n">
        <v>0.782</v>
      </c>
      <c r="M63" t="n">
        <v>0.218</v>
      </c>
    </row>
    <row r="64" spans="1:13">
      <c r="A64" s="1">
        <f>HYPERLINK("http://www.twitter.com/NathanBLawrence/status/998780457587113984", "998780457587113984")</f>
        <v/>
      </c>
      <c r="B64" s="2" t="n">
        <v>43242.18046296296</v>
      </c>
      <c r="C64" t="n">
        <v>0</v>
      </c>
      <c r="D64" t="n">
        <v>30</v>
      </c>
      <c r="E64" t="s">
        <v>75</v>
      </c>
      <c r="F64">
        <f>HYPERLINK("http://pbs.twimg.com/media/DdbzPf6UwAA2mfg.jpg", "http://pbs.twimg.com/media/DdbzPf6UwAA2mfg.jpg")</f>
        <v/>
      </c>
      <c r="G64" t="s"/>
      <c r="H64" t="s"/>
      <c r="I64" t="s"/>
      <c r="J64" t="n">
        <v>0.7003</v>
      </c>
      <c r="K64" t="n">
        <v>0</v>
      </c>
      <c r="L64" t="n">
        <v>0.775</v>
      </c>
      <c r="M64" t="n">
        <v>0.225</v>
      </c>
    </row>
    <row r="65" spans="1:13">
      <c r="A65" s="1">
        <f>HYPERLINK("http://www.twitter.com/NathanBLawrence/status/998780249549688832", "998780249549688832")</f>
        <v/>
      </c>
      <c r="B65" s="2" t="n">
        <v>43242.17988425926</v>
      </c>
      <c r="C65" t="n">
        <v>0</v>
      </c>
      <c r="D65" t="n">
        <v>5</v>
      </c>
      <c r="E65" t="s">
        <v>76</v>
      </c>
      <c r="F65" t="s"/>
      <c r="G65" t="s"/>
      <c r="H65" t="s"/>
      <c r="I65" t="s"/>
      <c r="J65" t="n">
        <v>0.6981000000000001</v>
      </c>
      <c r="K65" t="n">
        <v>0</v>
      </c>
      <c r="L65" t="n">
        <v>0.776</v>
      </c>
      <c r="M65" t="n">
        <v>0.224</v>
      </c>
    </row>
    <row r="66" spans="1:13">
      <c r="A66" s="1">
        <f>HYPERLINK("http://www.twitter.com/NathanBLawrence/status/998779245781434369", "998779245781434369")</f>
        <v/>
      </c>
      <c r="B66" s="2" t="n">
        <v>43242.17711805556</v>
      </c>
      <c r="C66" t="n">
        <v>1</v>
      </c>
      <c r="D66" t="n">
        <v>0</v>
      </c>
      <c r="E66" t="s">
        <v>77</v>
      </c>
      <c r="F66" t="s"/>
      <c r="G66" t="s"/>
      <c r="H66" t="s"/>
      <c r="I66" t="s"/>
      <c r="J66" t="n">
        <v>-0.5916</v>
      </c>
      <c r="K66" t="n">
        <v>0.203</v>
      </c>
      <c r="L66" t="n">
        <v>0.797</v>
      </c>
      <c r="M66" t="n">
        <v>0</v>
      </c>
    </row>
    <row r="67" spans="1:13">
      <c r="A67" s="1">
        <f>HYPERLINK("http://www.twitter.com/NathanBLawrence/status/998778756532654080", "998778756532654080")</f>
        <v/>
      </c>
      <c r="B67" s="2" t="n">
        <v>43242.17576388889</v>
      </c>
      <c r="C67" t="n">
        <v>0</v>
      </c>
      <c r="D67" t="n">
        <v>3</v>
      </c>
      <c r="E67" t="s">
        <v>78</v>
      </c>
      <c r="F67" t="s"/>
      <c r="G67" t="s"/>
      <c r="H67" t="s"/>
      <c r="I67" t="s"/>
      <c r="J67" t="n">
        <v>0</v>
      </c>
      <c r="K67" t="n">
        <v>0</v>
      </c>
      <c r="L67" t="n">
        <v>1</v>
      </c>
      <c r="M67" t="n">
        <v>0</v>
      </c>
    </row>
    <row r="68" spans="1:13">
      <c r="A68" s="1">
        <f>HYPERLINK("http://www.twitter.com/NathanBLawrence/status/998774665735651329", "998774665735651329")</f>
        <v/>
      </c>
      <c r="B68" s="2" t="n">
        <v>43242.16447916667</v>
      </c>
      <c r="C68" t="n">
        <v>0</v>
      </c>
      <c r="D68" t="n">
        <v>5</v>
      </c>
      <c r="E68" t="s">
        <v>79</v>
      </c>
      <c r="F68" t="s"/>
      <c r="G68" t="s"/>
      <c r="H68" t="s"/>
      <c r="I68" t="s"/>
      <c r="J68" t="n">
        <v>-0.3612</v>
      </c>
      <c r="K68" t="n">
        <v>0.122</v>
      </c>
      <c r="L68" t="n">
        <v>0.878</v>
      </c>
      <c r="M68" t="n">
        <v>0</v>
      </c>
    </row>
    <row r="69" spans="1:13">
      <c r="A69" s="1">
        <f>HYPERLINK("http://www.twitter.com/NathanBLawrence/status/998774282753732608", "998774282753732608")</f>
        <v/>
      </c>
      <c r="B69" s="2" t="n">
        <v>43242.16341435185</v>
      </c>
      <c r="C69" t="n">
        <v>0</v>
      </c>
      <c r="D69" t="n">
        <v>9</v>
      </c>
      <c r="E69" t="s">
        <v>80</v>
      </c>
      <c r="F69">
        <f>HYPERLINK("http://pbs.twimg.com/media/DdwEcvbU8AEr7FF.jpg", "http://pbs.twimg.com/media/DdwEcvbU8AEr7FF.jpg")</f>
        <v/>
      </c>
      <c r="G69" t="s"/>
      <c r="H69" t="s"/>
      <c r="I69" t="s"/>
      <c r="J69" t="n">
        <v>0.3204</v>
      </c>
      <c r="K69" t="n">
        <v>0</v>
      </c>
      <c r="L69" t="n">
        <v>0.88</v>
      </c>
      <c r="M69" t="n">
        <v>0.12</v>
      </c>
    </row>
    <row r="70" spans="1:13">
      <c r="A70" s="1">
        <f>HYPERLINK("http://www.twitter.com/NathanBLawrence/status/998774206845210624", "998774206845210624")</f>
        <v/>
      </c>
      <c r="B70" s="2" t="n">
        <v>43242.16320601852</v>
      </c>
      <c r="C70" t="n">
        <v>0</v>
      </c>
      <c r="D70" t="n">
        <v>16</v>
      </c>
      <c r="E70" t="s">
        <v>81</v>
      </c>
      <c r="F70">
        <f>HYPERLINK("http://pbs.twimg.com/media/Ddu8yl9VMAIGGaI.jpg", "http://pbs.twimg.com/media/Ddu8yl9VMAIGGaI.jpg")</f>
        <v/>
      </c>
      <c r="G70" t="s"/>
      <c r="H70" t="s"/>
      <c r="I70" t="s"/>
      <c r="J70" t="n">
        <v>-0.4939</v>
      </c>
      <c r="K70" t="n">
        <v>0.132</v>
      </c>
      <c r="L70" t="n">
        <v>0.868</v>
      </c>
      <c r="M70" t="n">
        <v>0</v>
      </c>
    </row>
    <row r="71" spans="1:13">
      <c r="A71" s="1">
        <f>HYPERLINK("http://www.twitter.com/NathanBLawrence/status/998774006319742976", "998774006319742976")</f>
        <v/>
      </c>
      <c r="B71" s="2" t="n">
        <v>43242.16266203704</v>
      </c>
      <c r="C71" t="n">
        <v>0</v>
      </c>
      <c r="D71" t="n">
        <v>66</v>
      </c>
      <c r="E71" t="s">
        <v>82</v>
      </c>
      <c r="F71" t="s"/>
      <c r="G71" t="s"/>
      <c r="H71" t="s"/>
      <c r="I71" t="s"/>
      <c r="J71" t="n">
        <v>-0.6418</v>
      </c>
      <c r="K71" t="n">
        <v>0.168</v>
      </c>
      <c r="L71" t="n">
        <v>0.832</v>
      </c>
      <c r="M71" t="n">
        <v>0</v>
      </c>
    </row>
    <row r="72" spans="1:13">
      <c r="A72" s="1">
        <f>HYPERLINK("http://www.twitter.com/NathanBLawrence/status/998773876518629376", "998773876518629376")</f>
        <v/>
      </c>
      <c r="B72" s="2" t="n">
        <v>43242.16230324074</v>
      </c>
      <c r="C72" t="n">
        <v>0</v>
      </c>
      <c r="D72" t="n">
        <v>14</v>
      </c>
      <c r="E72" t="s">
        <v>83</v>
      </c>
      <c r="F72">
        <f>HYPERLINK("http://pbs.twimg.com/media/DdwkJc-U8AEXWTi.jpg", "http://pbs.twimg.com/media/DdwkJc-U8AEXWTi.jpg")</f>
        <v/>
      </c>
      <c r="G72" t="s"/>
      <c r="H72" t="s"/>
      <c r="I72" t="s"/>
      <c r="J72" t="n">
        <v>0.4926</v>
      </c>
      <c r="K72" t="n">
        <v>0</v>
      </c>
      <c r="L72" t="n">
        <v>0.825</v>
      </c>
      <c r="M72" t="n">
        <v>0.175</v>
      </c>
    </row>
    <row r="73" spans="1:13">
      <c r="A73" s="1">
        <f>HYPERLINK("http://www.twitter.com/NathanBLawrence/status/998773791235821568", "998773791235821568")</f>
        <v/>
      </c>
      <c r="B73" s="2" t="n">
        <v>43242.16206018518</v>
      </c>
      <c r="C73" t="n">
        <v>0</v>
      </c>
      <c r="D73" t="n">
        <v>4</v>
      </c>
      <c r="E73" t="s">
        <v>84</v>
      </c>
      <c r="F73" t="s"/>
      <c r="G73" t="s"/>
      <c r="H73" t="s"/>
      <c r="I73" t="s"/>
      <c r="J73" t="n">
        <v>0</v>
      </c>
      <c r="K73" t="n">
        <v>0</v>
      </c>
      <c r="L73" t="n">
        <v>1</v>
      </c>
      <c r="M73" t="n">
        <v>0</v>
      </c>
    </row>
    <row r="74" spans="1:13">
      <c r="A74" s="1">
        <f>HYPERLINK("http://www.twitter.com/NathanBLawrence/status/998773669496156160", "998773669496156160")</f>
        <v/>
      </c>
      <c r="B74" s="2" t="n">
        <v>43242.16172453704</v>
      </c>
      <c r="C74" t="n">
        <v>0</v>
      </c>
      <c r="D74" t="n">
        <v>11</v>
      </c>
      <c r="E74" t="s">
        <v>85</v>
      </c>
      <c r="F74" t="s"/>
      <c r="G74" t="s"/>
      <c r="H74" t="s"/>
      <c r="I74" t="s"/>
      <c r="J74" t="n">
        <v>-0.0516</v>
      </c>
      <c r="K74" t="n">
        <v>0.107</v>
      </c>
      <c r="L74" t="n">
        <v>0.793</v>
      </c>
      <c r="M74" t="n">
        <v>0.1</v>
      </c>
    </row>
    <row r="75" spans="1:13">
      <c r="A75" s="1">
        <f>HYPERLINK("http://www.twitter.com/NathanBLawrence/status/998773519591792640", "998773519591792640")</f>
        <v/>
      </c>
      <c r="B75" s="2" t="n">
        <v>43242.16131944444</v>
      </c>
      <c r="C75" t="n">
        <v>0</v>
      </c>
      <c r="D75" t="n">
        <v>0</v>
      </c>
      <c r="E75" t="s">
        <v>86</v>
      </c>
      <c r="F75" t="s"/>
      <c r="G75" t="s"/>
      <c r="H75" t="s"/>
      <c r="I75" t="s"/>
      <c r="J75" t="n">
        <v>0</v>
      </c>
      <c r="K75" t="n">
        <v>0</v>
      </c>
      <c r="L75" t="n">
        <v>1</v>
      </c>
      <c r="M75" t="n">
        <v>0</v>
      </c>
    </row>
    <row r="76" spans="1:13">
      <c r="A76" s="1">
        <f>HYPERLINK("http://www.twitter.com/NathanBLawrence/status/998772813161938944", "998772813161938944")</f>
        <v/>
      </c>
      <c r="B76" s="2" t="n">
        <v>43242.15936342593</v>
      </c>
      <c r="C76" t="n">
        <v>0</v>
      </c>
      <c r="D76" t="n">
        <v>7</v>
      </c>
      <c r="E76" t="s">
        <v>87</v>
      </c>
      <c r="F76" t="s"/>
      <c r="G76" t="s"/>
      <c r="H76" t="s"/>
      <c r="I76" t="s"/>
      <c r="J76" t="n">
        <v>-0.4466</v>
      </c>
      <c r="K76" t="n">
        <v>0.128</v>
      </c>
      <c r="L76" t="n">
        <v>0.872</v>
      </c>
      <c r="M76" t="n">
        <v>0</v>
      </c>
    </row>
    <row r="77" spans="1:13">
      <c r="A77" s="1">
        <f>HYPERLINK("http://www.twitter.com/NathanBLawrence/status/998772705661865984", "998772705661865984")</f>
        <v/>
      </c>
      <c r="B77" s="2" t="n">
        <v>43242.1590625</v>
      </c>
      <c r="C77" t="n">
        <v>0</v>
      </c>
      <c r="D77" t="n">
        <v>7</v>
      </c>
      <c r="E77" t="s">
        <v>88</v>
      </c>
      <c r="F77" t="s"/>
      <c r="G77" t="s"/>
      <c r="H77" t="s"/>
      <c r="I77" t="s"/>
      <c r="J77" t="n">
        <v>0.6124000000000001</v>
      </c>
      <c r="K77" t="n">
        <v>0</v>
      </c>
      <c r="L77" t="n">
        <v>0.773</v>
      </c>
      <c r="M77" t="n">
        <v>0.227</v>
      </c>
    </row>
    <row r="78" spans="1:13">
      <c r="A78" s="1">
        <f>HYPERLINK("http://www.twitter.com/NathanBLawrence/status/998772429668339712", "998772429668339712")</f>
        <v/>
      </c>
      <c r="B78" s="2" t="n">
        <v>43242.15831018519</v>
      </c>
      <c r="C78" t="n">
        <v>0</v>
      </c>
      <c r="D78" t="n">
        <v>0</v>
      </c>
      <c r="E78" t="s">
        <v>89</v>
      </c>
      <c r="F78" t="s"/>
      <c r="G78" t="s"/>
      <c r="H78" t="s"/>
      <c r="I78" t="s"/>
      <c r="J78" t="n">
        <v>-0.5423</v>
      </c>
      <c r="K78" t="n">
        <v>0.538</v>
      </c>
      <c r="L78" t="n">
        <v>0.462</v>
      </c>
      <c r="M78" t="n">
        <v>0</v>
      </c>
    </row>
    <row r="79" spans="1:13">
      <c r="A79" s="1">
        <f>HYPERLINK("http://www.twitter.com/NathanBLawrence/status/998772318804426752", "998772318804426752")</f>
        <v/>
      </c>
      <c r="B79" s="2" t="n">
        <v>43242.15799768519</v>
      </c>
      <c r="C79" t="n">
        <v>0</v>
      </c>
      <c r="D79" t="n">
        <v>8</v>
      </c>
      <c r="E79" t="s">
        <v>90</v>
      </c>
      <c r="F79" t="s"/>
      <c r="G79" t="s"/>
      <c r="H79" t="s"/>
      <c r="I79" t="s"/>
      <c r="J79" t="n">
        <v>-0.3182</v>
      </c>
      <c r="K79" t="n">
        <v>0.099</v>
      </c>
      <c r="L79" t="n">
        <v>0.901</v>
      </c>
      <c r="M79" t="n">
        <v>0</v>
      </c>
    </row>
    <row r="80" spans="1:13">
      <c r="A80" s="1">
        <f>HYPERLINK("http://www.twitter.com/NathanBLawrence/status/998772091020165121", "998772091020165121")</f>
        <v/>
      </c>
      <c r="B80" s="2" t="n">
        <v>43242.15737268519</v>
      </c>
      <c r="C80" t="n">
        <v>1</v>
      </c>
      <c r="D80" t="n">
        <v>0</v>
      </c>
      <c r="E80" t="s">
        <v>91</v>
      </c>
      <c r="F80" t="s"/>
      <c r="G80" t="s"/>
      <c r="H80" t="s"/>
      <c r="I80" t="s"/>
      <c r="J80" t="n">
        <v>-0.5994</v>
      </c>
      <c r="K80" t="n">
        <v>0.197</v>
      </c>
      <c r="L80" t="n">
        <v>0.803</v>
      </c>
      <c r="M80" t="n">
        <v>0</v>
      </c>
    </row>
    <row r="81" spans="1:13">
      <c r="A81" s="1">
        <f>HYPERLINK("http://www.twitter.com/NathanBLawrence/status/998771127336878080", "998771127336878080")</f>
        <v/>
      </c>
      <c r="B81" s="2" t="n">
        <v>43242.15471064814</v>
      </c>
      <c r="C81" t="n">
        <v>0</v>
      </c>
      <c r="D81" t="n">
        <v>8</v>
      </c>
      <c r="E81" t="s">
        <v>92</v>
      </c>
      <c r="F81" t="s"/>
      <c r="G81" t="s"/>
      <c r="H81" t="s"/>
      <c r="I81" t="s"/>
      <c r="J81" t="n">
        <v>-0.8158</v>
      </c>
      <c r="K81" t="n">
        <v>0.325</v>
      </c>
      <c r="L81" t="n">
        <v>0.624</v>
      </c>
      <c r="M81" t="n">
        <v>0.051</v>
      </c>
    </row>
    <row r="82" spans="1:13">
      <c r="A82" s="1">
        <f>HYPERLINK("http://www.twitter.com/NathanBLawrence/status/998771004716367872", "998771004716367872")</f>
        <v/>
      </c>
      <c r="B82" s="2" t="n">
        <v>43242.154375</v>
      </c>
      <c r="C82" t="n">
        <v>0</v>
      </c>
      <c r="D82" t="n">
        <v>4</v>
      </c>
      <c r="E82" t="s">
        <v>93</v>
      </c>
      <c r="F82">
        <f>HYPERLINK("http://pbs.twimg.com/media/DdwQptLV4AAmgCt.jpg", "http://pbs.twimg.com/media/DdwQptLV4AAmgCt.jpg")</f>
        <v/>
      </c>
      <c r="G82" t="s"/>
      <c r="H82" t="s"/>
      <c r="I82" t="s"/>
      <c r="J82" t="n">
        <v>0</v>
      </c>
      <c r="K82" t="n">
        <v>0</v>
      </c>
      <c r="L82" t="n">
        <v>1</v>
      </c>
      <c r="M82" t="n">
        <v>0</v>
      </c>
    </row>
    <row r="83" spans="1:13">
      <c r="A83" s="1">
        <f>HYPERLINK("http://www.twitter.com/NathanBLawrence/status/998770176190369792", "998770176190369792")</f>
        <v/>
      </c>
      <c r="B83" s="2" t="n">
        <v>43242.15208333333</v>
      </c>
      <c r="C83" t="n">
        <v>0</v>
      </c>
      <c r="D83" t="n">
        <v>5</v>
      </c>
      <c r="E83" t="s">
        <v>94</v>
      </c>
      <c r="F83" t="s"/>
      <c r="G83" t="s"/>
      <c r="H83" t="s"/>
      <c r="I83" t="s"/>
      <c r="J83" t="n">
        <v>-0.1027</v>
      </c>
      <c r="K83" t="n">
        <v>0.139</v>
      </c>
      <c r="L83" t="n">
        <v>0.743</v>
      </c>
      <c r="M83" t="n">
        <v>0.119</v>
      </c>
    </row>
    <row r="84" spans="1:13">
      <c r="A84" s="1">
        <f>HYPERLINK("http://www.twitter.com/NathanBLawrence/status/998769141967347712", "998769141967347712")</f>
        <v/>
      </c>
      <c r="B84" s="2" t="n">
        <v>43242.14923611111</v>
      </c>
      <c r="C84" t="n">
        <v>0</v>
      </c>
      <c r="D84" t="n">
        <v>0</v>
      </c>
      <c r="E84" t="s">
        <v>95</v>
      </c>
      <c r="F84" t="s"/>
      <c r="G84" t="s"/>
      <c r="H84" t="s"/>
      <c r="I84" t="s"/>
      <c r="J84" t="n">
        <v>-0.5473</v>
      </c>
      <c r="K84" t="n">
        <v>0.243</v>
      </c>
      <c r="L84" t="n">
        <v>0.757</v>
      </c>
      <c r="M84" t="n">
        <v>0</v>
      </c>
    </row>
    <row r="85" spans="1:13">
      <c r="A85" s="1">
        <f>HYPERLINK("http://www.twitter.com/NathanBLawrence/status/998768570954739712", "998768570954739712")</f>
        <v/>
      </c>
      <c r="B85" s="2" t="n">
        <v>43242.14766203704</v>
      </c>
      <c r="C85" t="n">
        <v>0</v>
      </c>
      <c r="D85" t="n">
        <v>9</v>
      </c>
      <c r="E85" t="s">
        <v>96</v>
      </c>
      <c r="F85">
        <f>HYPERLINK("http://pbs.twimg.com/media/DdwcMj5U0AEQ8AJ.jpg", "http://pbs.twimg.com/media/DdwcMj5U0AEQ8AJ.jpg")</f>
        <v/>
      </c>
      <c r="G85" t="s"/>
      <c r="H85" t="s"/>
      <c r="I85" t="s"/>
      <c r="J85" t="n">
        <v>0.4019</v>
      </c>
      <c r="K85" t="n">
        <v>0.113</v>
      </c>
      <c r="L85" t="n">
        <v>0.64</v>
      </c>
      <c r="M85" t="n">
        <v>0.246</v>
      </c>
    </row>
    <row r="86" spans="1:13">
      <c r="A86" s="1">
        <f>HYPERLINK("http://www.twitter.com/NathanBLawrence/status/998768110021718016", "998768110021718016")</f>
        <v/>
      </c>
      <c r="B86" s="2" t="n">
        <v>43242.14638888889</v>
      </c>
      <c r="C86" t="n">
        <v>1</v>
      </c>
      <c r="D86" t="n">
        <v>0</v>
      </c>
      <c r="E86" t="s">
        <v>97</v>
      </c>
      <c r="F86">
        <f>HYPERLINK("http://pbs.twimg.com/media/DdxWLF-VQAASRsv.jpg", "http://pbs.twimg.com/media/DdxWLF-VQAASRsv.jpg")</f>
        <v/>
      </c>
      <c r="G86">
        <f>HYPERLINK("http://pbs.twimg.com/media/DdxWObsU8AAFnz4.jpg", "http://pbs.twimg.com/media/DdxWObsU8AAFnz4.jpg")</f>
        <v/>
      </c>
      <c r="H86" t="s"/>
      <c r="I86" t="s"/>
      <c r="J86" t="n">
        <v>-0.0373</v>
      </c>
      <c r="K86" t="n">
        <v>0.163</v>
      </c>
      <c r="L86" t="n">
        <v>0.659</v>
      </c>
      <c r="M86" t="n">
        <v>0.179</v>
      </c>
    </row>
    <row r="87" spans="1:13">
      <c r="A87" s="1">
        <f>HYPERLINK("http://www.twitter.com/NathanBLawrence/status/998766494732271617", "998766494732271617")</f>
        <v/>
      </c>
      <c r="B87" s="2" t="n">
        <v>43242.14193287037</v>
      </c>
      <c r="C87" t="n">
        <v>0</v>
      </c>
      <c r="D87" t="n">
        <v>6</v>
      </c>
      <c r="E87" t="s">
        <v>98</v>
      </c>
      <c r="F87">
        <f>HYPERLINK("http://pbs.twimg.com/media/DdwcO1nVMAANwI4.jpg", "http://pbs.twimg.com/media/DdwcO1nVMAANwI4.jpg")</f>
        <v/>
      </c>
      <c r="G87" t="s"/>
      <c r="H87" t="s"/>
      <c r="I87" t="s"/>
      <c r="J87" t="n">
        <v>0.4019</v>
      </c>
      <c r="K87" t="n">
        <v>0.06</v>
      </c>
      <c r="L87" t="n">
        <v>0.766</v>
      </c>
      <c r="M87" t="n">
        <v>0.174</v>
      </c>
    </row>
    <row r="88" spans="1:13">
      <c r="A88" s="1">
        <f>HYPERLINK("http://www.twitter.com/NathanBLawrence/status/998766350469246977", "998766350469246977")</f>
        <v/>
      </c>
      <c r="B88" s="2" t="n">
        <v>43242.14152777778</v>
      </c>
      <c r="C88" t="n">
        <v>0</v>
      </c>
      <c r="D88" t="n">
        <v>16</v>
      </c>
      <c r="E88" t="s">
        <v>99</v>
      </c>
      <c r="F88">
        <f>HYPERLINK("http://pbs.twimg.com/media/DdwdF9nU0AApFnE.jpg", "http://pbs.twimg.com/media/DdwdF9nU0AApFnE.jpg")</f>
        <v/>
      </c>
      <c r="G88">
        <f>HYPERLINK("http://pbs.twimg.com/media/DdwdGXtU0AAhSBb.jpg", "http://pbs.twimg.com/media/DdwdGXtU0AAhSBb.jpg")</f>
        <v/>
      </c>
      <c r="H88">
        <f>HYPERLINK("http://pbs.twimg.com/media/DdwdGx1VMAAvUSs.jpg", "http://pbs.twimg.com/media/DdwdGx1VMAAvUSs.jpg")</f>
        <v/>
      </c>
      <c r="I88">
        <f>HYPERLINK("http://pbs.twimg.com/media/DdwdHK7VQAAbDxG.jpg", "http://pbs.twimg.com/media/DdwdHK7VQAAbDxG.jpg")</f>
        <v/>
      </c>
      <c r="J88" t="n">
        <v>-0.3382</v>
      </c>
      <c r="K88" t="n">
        <v>0.117</v>
      </c>
      <c r="L88" t="n">
        <v>0.883</v>
      </c>
      <c r="M88" t="n">
        <v>0</v>
      </c>
    </row>
    <row r="89" spans="1:13">
      <c r="A89" s="1">
        <f>HYPERLINK("http://www.twitter.com/NathanBLawrence/status/998765661147906049", "998765661147906049")</f>
        <v/>
      </c>
      <c r="B89" s="2" t="n">
        <v>43242.13962962963</v>
      </c>
      <c r="C89" t="n">
        <v>0</v>
      </c>
      <c r="D89" t="n">
        <v>10</v>
      </c>
      <c r="E89" t="s">
        <v>100</v>
      </c>
      <c r="F89">
        <f>HYPERLINK("http://pbs.twimg.com/media/Ddwekf9VMAAOe3k.jpg", "http://pbs.twimg.com/media/Ddwekf9VMAAOe3k.jpg")</f>
        <v/>
      </c>
      <c r="G89" t="s"/>
      <c r="H89" t="s"/>
      <c r="I89" t="s"/>
      <c r="J89" t="n">
        <v>0</v>
      </c>
      <c r="K89" t="n">
        <v>0</v>
      </c>
      <c r="L89" t="n">
        <v>1</v>
      </c>
      <c r="M89" t="n">
        <v>0</v>
      </c>
    </row>
    <row r="90" spans="1:13">
      <c r="A90" s="1">
        <f>HYPERLINK("http://www.twitter.com/NathanBLawrence/status/998765191260061696", "998765191260061696")</f>
        <v/>
      </c>
      <c r="B90" s="2" t="n">
        <v>43242.13833333334</v>
      </c>
      <c r="C90" t="n">
        <v>0</v>
      </c>
      <c r="D90" t="n">
        <v>3</v>
      </c>
      <c r="E90" t="s">
        <v>101</v>
      </c>
      <c r="F90">
        <f>HYPERLINK("http://pbs.twimg.com/media/Ddwf954VQAIom0x.jpg", "http://pbs.twimg.com/media/Ddwf954VQAIom0x.jpg")</f>
        <v/>
      </c>
      <c r="G90" t="s"/>
      <c r="H90" t="s"/>
      <c r="I90" t="s"/>
      <c r="J90" t="n">
        <v>-0.5852000000000001</v>
      </c>
      <c r="K90" t="n">
        <v>0.18</v>
      </c>
      <c r="L90" t="n">
        <v>0.745</v>
      </c>
      <c r="M90" t="n">
        <v>0.076</v>
      </c>
    </row>
    <row r="91" spans="1:13">
      <c r="A91" s="1">
        <f>HYPERLINK("http://www.twitter.com/NathanBLawrence/status/998763579116433410", "998763579116433410")</f>
        <v/>
      </c>
      <c r="B91" s="2" t="n">
        <v>43242.13388888889</v>
      </c>
      <c r="C91" t="n">
        <v>4</v>
      </c>
      <c r="D91" t="n">
        <v>4</v>
      </c>
      <c r="E91" t="s">
        <v>102</v>
      </c>
      <c r="F91" t="s"/>
      <c r="G91" t="s"/>
      <c r="H91" t="s"/>
      <c r="I91" t="s"/>
      <c r="J91" t="n">
        <v>0.6597</v>
      </c>
      <c r="K91" t="n">
        <v>0</v>
      </c>
      <c r="L91" t="n">
        <v>0.866</v>
      </c>
      <c r="M91" t="n">
        <v>0.134</v>
      </c>
    </row>
    <row r="92" spans="1:13">
      <c r="A92" s="1">
        <f>HYPERLINK("http://www.twitter.com/NathanBLawrence/status/998761732058243073", "998761732058243073")</f>
        <v/>
      </c>
      <c r="B92" s="2" t="n">
        <v>43242.12878472222</v>
      </c>
      <c r="C92" t="n">
        <v>4</v>
      </c>
      <c r="D92" t="n">
        <v>3</v>
      </c>
      <c r="E92" t="s">
        <v>103</v>
      </c>
      <c r="F92" t="s"/>
      <c r="G92" t="s"/>
      <c r="H92" t="s"/>
      <c r="I92" t="s"/>
      <c r="J92" t="n">
        <v>-0.4468</v>
      </c>
      <c r="K92" t="n">
        <v>0.123</v>
      </c>
      <c r="L92" t="n">
        <v>0.82</v>
      </c>
      <c r="M92" t="n">
        <v>0.057</v>
      </c>
    </row>
    <row r="93" spans="1:13">
      <c r="A93" s="1">
        <f>HYPERLINK("http://www.twitter.com/NathanBLawrence/status/998760870061555712", "998760870061555712")</f>
        <v/>
      </c>
      <c r="B93" s="2" t="n">
        <v>43242.12641203704</v>
      </c>
      <c r="C93" t="n">
        <v>0</v>
      </c>
      <c r="D93" t="n">
        <v>0</v>
      </c>
      <c r="E93" t="s">
        <v>104</v>
      </c>
      <c r="F93" t="s"/>
      <c r="G93" t="s"/>
      <c r="H93" t="s"/>
      <c r="I93" t="s"/>
      <c r="J93" t="n">
        <v>-0.5266999999999999</v>
      </c>
      <c r="K93" t="n">
        <v>0.105</v>
      </c>
      <c r="L93" t="n">
        <v>0.895</v>
      </c>
      <c r="M93" t="n">
        <v>0</v>
      </c>
    </row>
    <row r="94" spans="1:13">
      <c r="A94" s="1">
        <f>HYPERLINK("http://www.twitter.com/NathanBLawrence/status/998759217413603329", "998759217413603329")</f>
        <v/>
      </c>
      <c r="B94" s="2" t="n">
        <v>43242.12185185185</v>
      </c>
      <c r="C94" t="n">
        <v>3</v>
      </c>
      <c r="D94" t="n">
        <v>1</v>
      </c>
      <c r="E94" t="s">
        <v>105</v>
      </c>
      <c r="F94">
        <f>HYPERLINK("http://pbs.twimg.com/media/DdxNcrOU8AA18Tx.jpg", "http://pbs.twimg.com/media/DdxNcrOU8AA18Tx.jpg")</f>
        <v/>
      </c>
      <c r="G94">
        <f>HYPERLINK("http://pbs.twimg.com/media/DdxOJ3CVMAEw1uF.jpg", "http://pbs.twimg.com/media/DdxOJ3CVMAEw1uF.jpg")</f>
        <v/>
      </c>
      <c r="H94" t="s"/>
      <c r="I94" t="s"/>
      <c r="J94" t="n">
        <v>-0.5574</v>
      </c>
      <c r="K94" t="n">
        <v>0.153</v>
      </c>
      <c r="L94" t="n">
        <v>0.847</v>
      </c>
      <c r="M94" t="n">
        <v>0</v>
      </c>
    </row>
    <row r="95" spans="1:13">
      <c r="A95" s="1">
        <f>HYPERLINK("http://www.twitter.com/NathanBLawrence/status/998757865929129985", "998757865929129985")</f>
        <v/>
      </c>
      <c r="B95" s="2" t="n">
        <v>43242.11811342592</v>
      </c>
      <c r="C95" t="n">
        <v>1</v>
      </c>
      <c r="D95" t="n">
        <v>0</v>
      </c>
      <c r="E95" t="s">
        <v>106</v>
      </c>
      <c r="F95" t="s"/>
      <c r="G95" t="s"/>
      <c r="H95" t="s"/>
      <c r="I95" t="s"/>
      <c r="J95" t="n">
        <v>0.1027</v>
      </c>
      <c r="K95" t="n">
        <v>0.167</v>
      </c>
      <c r="L95" t="n">
        <v>0.635</v>
      </c>
      <c r="M95" t="n">
        <v>0.198</v>
      </c>
    </row>
    <row r="96" spans="1:13">
      <c r="A96" s="1">
        <f>HYPERLINK("http://www.twitter.com/NathanBLawrence/status/998756792095014913", "998756792095014913")</f>
        <v/>
      </c>
      <c r="B96" s="2" t="n">
        <v>43242.11515046296</v>
      </c>
      <c r="C96" t="n">
        <v>2</v>
      </c>
      <c r="D96" t="n">
        <v>1</v>
      </c>
      <c r="E96" t="s">
        <v>107</v>
      </c>
      <c r="F96" t="s"/>
      <c r="G96" t="s"/>
      <c r="H96" t="s"/>
      <c r="I96" t="s"/>
      <c r="J96" t="n">
        <v>0</v>
      </c>
      <c r="K96" t="n">
        <v>0</v>
      </c>
      <c r="L96" t="n">
        <v>1</v>
      </c>
      <c r="M96" t="n">
        <v>0</v>
      </c>
    </row>
    <row r="97" spans="1:13">
      <c r="A97" s="1">
        <f>HYPERLINK("http://www.twitter.com/NathanBLawrence/status/998741875623276545", "998741875623276545")</f>
        <v/>
      </c>
      <c r="B97" s="2" t="n">
        <v>43242.07399305556</v>
      </c>
      <c r="C97" t="n">
        <v>0</v>
      </c>
      <c r="D97" t="n">
        <v>5</v>
      </c>
      <c r="E97" t="s">
        <v>108</v>
      </c>
      <c r="F97" t="s"/>
      <c r="G97" t="s"/>
      <c r="H97" t="s"/>
      <c r="I97" t="s"/>
      <c r="J97" t="n">
        <v>-0.5574</v>
      </c>
      <c r="K97" t="n">
        <v>0.196</v>
      </c>
      <c r="L97" t="n">
        <v>0.734</v>
      </c>
      <c r="M97" t="n">
        <v>0.07000000000000001</v>
      </c>
    </row>
    <row r="98" spans="1:13">
      <c r="A98" s="1">
        <f>HYPERLINK("http://www.twitter.com/NathanBLawrence/status/998740640497258499", "998740640497258499")</f>
        <v/>
      </c>
      <c r="B98" s="2" t="n">
        <v>43242.07059027778</v>
      </c>
      <c r="C98" t="n">
        <v>0</v>
      </c>
      <c r="D98" t="n">
        <v>8</v>
      </c>
      <c r="E98" t="s">
        <v>109</v>
      </c>
      <c r="F98" t="s"/>
      <c r="G98" t="s"/>
      <c r="H98" t="s"/>
      <c r="I98" t="s"/>
      <c r="J98" t="n">
        <v>-0.5859</v>
      </c>
      <c r="K98" t="n">
        <v>0.22</v>
      </c>
      <c r="L98" t="n">
        <v>0.78</v>
      </c>
      <c r="M98" t="n">
        <v>0</v>
      </c>
    </row>
    <row r="99" spans="1:13">
      <c r="A99" s="1">
        <f>HYPERLINK("http://www.twitter.com/NathanBLawrence/status/998734541249437697", "998734541249437697")</f>
        <v/>
      </c>
      <c r="B99" s="2" t="n">
        <v>43242.05375</v>
      </c>
      <c r="C99" t="n">
        <v>4</v>
      </c>
      <c r="D99" t="n">
        <v>2</v>
      </c>
      <c r="E99" t="s">
        <v>110</v>
      </c>
      <c r="F99" t="s"/>
      <c r="G99" t="s"/>
      <c r="H99" t="s"/>
      <c r="I99" t="s"/>
      <c r="J99" t="n">
        <v>-0.835</v>
      </c>
      <c r="K99" t="n">
        <v>0.233</v>
      </c>
      <c r="L99" t="n">
        <v>0.767</v>
      </c>
      <c r="M99" t="n">
        <v>0</v>
      </c>
    </row>
    <row r="100" spans="1:13">
      <c r="A100" s="1">
        <f>HYPERLINK("http://www.twitter.com/NathanBLawrence/status/998733268001341441", "998733268001341441")</f>
        <v/>
      </c>
      <c r="B100" s="2" t="n">
        <v>43242.05024305556</v>
      </c>
      <c r="C100" t="n">
        <v>4</v>
      </c>
      <c r="D100" t="n">
        <v>2</v>
      </c>
      <c r="E100" t="s">
        <v>111</v>
      </c>
      <c r="F100" t="s"/>
      <c r="G100" t="s"/>
      <c r="H100" t="s"/>
      <c r="I100" t="s"/>
      <c r="J100" t="n">
        <v>0</v>
      </c>
      <c r="K100" t="n">
        <v>0</v>
      </c>
      <c r="L100" t="n">
        <v>1</v>
      </c>
      <c r="M100" t="n">
        <v>0</v>
      </c>
    </row>
    <row r="101" spans="1:13">
      <c r="A101" s="1">
        <f>HYPERLINK("http://www.twitter.com/NathanBLawrence/status/998727363763388419", "998727363763388419")</f>
        <v/>
      </c>
      <c r="B101" s="2" t="n">
        <v>43242.03394675926</v>
      </c>
      <c r="C101" t="n">
        <v>4</v>
      </c>
      <c r="D101" t="n">
        <v>1</v>
      </c>
      <c r="E101" t="s">
        <v>112</v>
      </c>
      <c r="F101">
        <f>HYPERLINK("http://pbs.twimg.com/media/DdwxJFhUwAEb3rE.jpg", "http://pbs.twimg.com/media/DdwxJFhUwAEb3rE.jpg")</f>
        <v/>
      </c>
      <c r="G101" t="s"/>
      <c r="H101" t="s"/>
      <c r="I101" t="s"/>
      <c r="J101" t="n">
        <v>-0.5859</v>
      </c>
      <c r="K101" t="n">
        <v>0.322</v>
      </c>
      <c r="L101" t="n">
        <v>0.678</v>
      </c>
      <c r="M101" t="n">
        <v>0</v>
      </c>
    </row>
    <row r="102" spans="1:13">
      <c r="A102" s="1">
        <f>HYPERLINK("http://www.twitter.com/NathanBLawrence/status/998726950318292993", "998726950318292993")</f>
        <v/>
      </c>
      <c r="B102" s="2" t="n">
        <v>43242.0328125</v>
      </c>
      <c r="C102" t="n">
        <v>6</v>
      </c>
      <c r="D102" t="n">
        <v>3</v>
      </c>
      <c r="E102" t="s">
        <v>113</v>
      </c>
      <c r="F102" t="s"/>
      <c r="G102" t="s"/>
      <c r="H102" t="s"/>
      <c r="I102" t="s"/>
      <c r="J102" t="n">
        <v>-0.9191</v>
      </c>
      <c r="K102" t="n">
        <v>0.277</v>
      </c>
      <c r="L102" t="n">
        <v>0.723</v>
      </c>
      <c r="M102" t="n">
        <v>0</v>
      </c>
    </row>
    <row r="103" spans="1:13">
      <c r="A103" s="1">
        <f>HYPERLINK("http://www.twitter.com/NathanBLawrence/status/998726464802504704", "998726464802504704")</f>
        <v/>
      </c>
      <c r="B103" s="2" t="n">
        <v>43242.03146990741</v>
      </c>
      <c r="C103" t="n">
        <v>10</v>
      </c>
      <c r="D103" t="n">
        <v>6</v>
      </c>
      <c r="E103" t="s">
        <v>114</v>
      </c>
      <c r="F103">
        <f>HYPERLINK("http://pbs.twimg.com/media/DdwwY5kV4AA1lr_.jpg", "http://pbs.twimg.com/media/DdwwY5kV4AA1lr_.jpg")</f>
        <v/>
      </c>
      <c r="G103" t="s"/>
      <c r="H103" t="s"/>
      <c r="I103" t="s"/>
      <c r="J103" t="n">
        <v>-0.1635</v>
      </c>
      <c r="K103" t="n">
        <v>0.159</v>
      </c>
      <c r="L103" t="n">
        <v>0.759</v>
      </c>
      <c r="M103" t="n">
        <v>0.082</v>
      </c>
    </row>
    <row r="104" spans="1:13">
      <c r="A104" s="1">
        <f>HYPERLINK("http://www.twitter.com/NathanBLawrence/status/998725909405286401", "998725909405286401")</f>
        <v/>
      </c>
      <c r="B104" s="2" t="n">
        <v>43242.02993055555</v>
      </c>
      <c r="C104" t="n">
        <v>2</v>
      </c>
      <c r="D104" t="n">
        <v>1</v>
      </c>
      <c r="E104" t="s">
        <v>115</v>
      </c>
      <c r="F104">
        <f>HYPERLINK("http://pbs.twimg.com/media/Ddwv6JsU0AYpbZA.jpg", "http://pbs.twimg.com/media/Ddwv6JsU0AYpbZA.jpg")</f>
        <v/>
      </c>
      <c r="G104" t="s"/>
      <c r="H104" t="s"/>
      <c r="I104" t="s"/>
      <c r="J104" t="n">
        <v>-0.296</v>
      </c>
      <c r="K104" t="n">
        <v>0.05</v>
      </c>
      <c r="L104" t="n">
        <v>0.95</v>
      </c>
      <c r="M104" t="n">
        <v>0</v>
      </c>
    </row>
    <row r="105" spans="1:13">
      <c r="A105" s="1">
        <f>HYPERLINK("http://www.twitter.com/NathanBLawrence/status/998724614539821057", "998724614539821057")</f>
        <v/>
      </c>
      <c r="B105" s="2" t="n">
        <v>43242.02636574074</v>
      </c>
      <c r="C105" t="n">
        <v>3</v>
      </c>
      <c r="D105" t="n">
        <v>1</v>
      </c>
      <c r="E105" t="s">
        <v>116</v>
      </c>
      <c r="F105">
        <f>HYPERLINK("http://pbs.twimg.com/media/DdwupraVQAAlHbc.jpg", "http://pbs.twimg.com/media/DdwupraVQAAlHbc.jpg")</f>
        <v/>
      </c>
      <c r="G105" t="s"/>
      <c r="H105" t="s"/>
      <c r="I105" t="s"/>
      <c r="J105" t="n">
        <v>-0.1531</v>
      </c>
      <c r="K105" t="n">
        <v>0.08599999999999999</v>
      </c>
      <c r="L105" t="n">
        <v>0.861</v>
      </c>
      <c r="M105" t="n">
        <v>0.053</v>
      </c>
    </row>
    <row r="106" spans="1:13">
      <c r="A106" s="1">
        <f>HYPERLINK("http://www.twitter.com/NathanBLawrence/status/998723941161054208", "998723941161054208")</f>
        <v/>
      </c>
      <c r="B106" s="2" t="n">
        <v>43242.02450231482</v>
      </c>
      <c r="C106" t="n">
        <v>4</v>
      </c>
      <c r="D106" t="n">
        <v>3</v>
      </c>
      <c r="E106" t="s">
        <v>117</v>
      </c>
      <c r="F106">
        <f>HYPERLINK("http://pbs.twimg.com/media/DdwuHVAVMAA2Zdv.jpg", "http://pbs.twimg.com/media/DdwuHVAVMAA2Zdv.jpg")</f>
        <v/>
      </c>
      <c r="G106" t="s"/>
      <c r="H106" t="s"/>
      <c r="I106" t="s"/>
      <c r="J106" t="n">
        <v>-0.9198</v>
      </c>
      <c r="K106" t="n">
        <v>0.297</v>
      </c>
      <c r="L106" t="n">
        <v>0.703</v>
      </c>
      <c r="M106" t="n">
        <v>0</v>
      </c>
    </row>
    <row r="107" spans="1:13">
      <c r="A107" s="1">
        <f>HYPERLINK("http://www.twitter.com/NathanBLawrence/status/998723305157771264", "998723305157771264")</f>
        <v/>
      </c>
      <c r="B107" s="2" t="n">
        <v>43242.02274305555</v>
      </c>
      <c r="C107" t="n">
        <v>7</v>
      </c>
      <c r="D107" t="n">
        <v>4</v>
      </c>
      <c r="E107" t="s">
        <v>118</v>
      </c>
      <c r="F107">
        <f>HYPERLINK("http://pbs.twimg.com/media/DdwtLOxV4AEXglt.jpg", "http://pbs.twimg.com/media/DdwtLOxV4AEXglt.jpg")</f>
        <v/>
      </c>
      <c r="G107" t="s"/>
      <c r="H107" t="s"/>
      <c r="I107" t="s"/>
      <c r="J107" t="n">
        <v>-0.4596</v>
      </c>
      <c r="K107" t="n">
        <v>0.103</v>
      </c>
      <c r="L107" t="n">
        <v>0.828</v>
      </c>
      <c r="M107" t="n">
        <v>0.06900000000000001</v>
      </c>
    </row>
    <row r="108" spans="1:13">
      <c r="A108" s="1">
        <f>HYPERLINK("http://www.twitter.com/NathanBLawrence/status/998722627786035202", "998722627786035202")</f>
        <v/>
      </c>
      <c r="B108" s="2" t="n">
        <v>43242.02087962963</v>
      </c>
      <c r="C108" t="n">
        <v>4</v>
      </c>
      <c r="D108" t="n">
        <v>1</v>
      </c>
      <c r="E108" t="s">
        <v>119</v>
      </c>
      <c r="F108" t="s"/>
      <c r="G108" t="s"/>
      <c r="H108" t="s"/>
      <c r="I108" t="s"/>
      <c r="J108" t="n">
        <v>0.4939</v>
      </c>
      <c r="K108" t="n">
        <v>0.05</v>
      </c>
      <c r="L108" t="n">
        <v>0.825</v>
      </c>
      <c r="M108" t="n">
        <v>0.125</v>
      </c>
    </row>
    <row r="109" spans="1:13">
      <c r="A109" s="1">
        <f>HYPERLINK("http://www.twitter.com/NathanBLawrence/status/998722016667516929", "998722016667516929")</f>
        <v/>
      </c>
      <c r="B109" s="2" t="n">
        <v>43242.01918981481</v>
      </c>
      <c r="C109" t="n">
        <v>8</v>
      </c>
      <c r="D109" t="n">
        <v>9</v>
      </c>
      <c r="E109" t="s">
        <v>120</v>
      </c>
      <c r="F109">
        <f>HYPERLINK("http://pbs.twimg.com/media/DdwrrI7VwAAHCnR.jpg", "http://pbs.twimg.com/media/DdwrrI7VwAAHCnR.jpg")</f>
        <v/>
      </c>
      <c r="G109" t="s"/>
      <c r="H109" t="s"/>
      <c r="I109" t="s"/>
      <c r="J109" t="n">
        <v>-0.68</v>
      </c>
      <c r="K109" t="n">
        <v>0.169</v>
      </c>
      <c r="L109" t="n">
        <v>0.724</v>
      </c>
      <c r="M109" t="n">
        <v>0.106</v>
      </c>
    </row>
    <row r="110" spans="1:13">
      <c r="A110" s="1">
        <f>HYPERLINK("http://www.twitter.com/NathanBLawrence/status/998693881817382912", "998693881817382912")</f>
        <v/>
      </c>
      <c r="B110" s="2" t="n">
        <v>43241.94155092593</v>
      </c>
      <c r="C110" t="n">
        <v>0</v>
      </c>
      <c r="D110" t="n">
        <v>11</v>
      </c>
      <c r="E110" t="s">
        <v>121</v>
      </c>
      <c r="F110">
        <f>HYPERLINK("http://pbs.twimg.com/media/DdcwKkOUQAAfQve.jpg", "http://pbs.twimg.com/media/DdcwKkOUQAAfQve.jpg")</f>
        <v/>
      </c>
      <c r="G110" t="s"/>
      <c r="H110" t="s"/>
      <c r="I110" t="s"/>
      <c r="J110" t="n">
        <v>-0.4767</v>
      </c>
      <c r="K110" t="n">
        <v>0.134</v>
      </c>
      <c r="L110" t="n">
        <v>0.866</v>
      </c>
      <c r="M110" t="n">
        <v>0</v>
      </c>
    </row>
    <row r="111" spans="1:13">
      <c r="A111" s="1">
        <f>HYPERLINK("http://www.twitter.com/NathanBLawrence/status/998691475113230337", "998691475113230337")</f>
        <v/>
      </c>
      <c r="B111" s="2" t="n">
        <v>43241.93491898148</v>
      </c>
      <c r="C111" t="n">
        <v>0</v>
      </c>
      <c r="D111" t="n">
        <v>16</v>
      </c>
      <c r="E111" t="s">
        <v>122</v>
      </c>
      <c r="F111">
        <f>HYPERLINK("http://pbs.twimg.com/media/DcYvVvjW0AE29zZ.jpg", "http://pbs.twimg.com/media/DcYvVvjW0AE29zZ.jpg")</f>
        <v/>
      </c>
      <c r="G111" t="s"/>
      <c r="H111" t="s"/>
      <c r="I111" t="s"/>
      <c r="J111" t="n">
        <v>-0.2617</v>
      </c>
      <c r="K111" t="n">
        <v>0.076</v>
      </c>
      <c r="L111" t="n">
        <v>0.924</v>
      </c>
      <c r="M111" t="n">
        <v>0</v>
      </c>
    </row>
    <row r="112" spans="1:13">
      <c r="A112" s="1">
        <f>HYPERLINK("http://www.twitter.com/NathanBLawrence/status/998691289662078976", "998691289662078976")</f>
        <v/>
      </c>
      <c r="B112" s="2" t="n">
        <v>43241.93439814815</v>
      </c>
      <c r="C112" t="n">
        <v>0</v>
      </c>
      <c r="D112" t="n">
        <v>11</v>
      </c>
      <c r="E112" t="s">
        <v>123</v>
      </c>
      <c r="F112">
        <f>HYPERLINK("http://pbs.twimg.com/media/DcZWKwqVAAACxjA.jpg", "http://pbs.twimg.com/media/DcZWKwqVAAACxjA.jpg")</f>
        <v/>
      </c>
      <c r="G112" t="s"/>
      <c r="H112" t="s"/>
      <c r="I112" t="s"/>
      <c r="J112" t="n">
        <v>-0.5574</v>
      </c>
      <c r="K112" t="n">
        <v>0.272</v>
      </c>
      <c r="L112" t="n">
        <v>0.6</v>
      </c>
      <c r="M112" t="n">
        <v>0.128</v>
      </c>
    </row>
    <row r="113" spans="1:13">
      <c r="A113" s="1">
        <f>HYPERLINK("http://www.twitter.com/NathanBLawrence/status/998684544298450944", "998684544298450944")</f>
        <v/>
      </c>
      <c r="B113" s="2" t="n">
        <v>43241.91578703704</v>
      </c>
      <c r="C113" t="n">
        <v>0</v>
      </c>
      <c r="D113" t="n">
        <v>4</v>
      </c>
      <c r="E113" t="s">
        <v>124</v>
      </c>
      <c r="F113" t="s"/>
      <c r="G113" t="s"/>
      <c r="H113" t="s"/>
      <c r="I113" t="s"/>
      <c r="J113" t="n">
        <v>0</v>
      </c>
      <c r="K113" t="n">
        <v>0</v>
      </c>
      <c r="L113" t="n">
        <v>1</v>
      </c>
      <c r="M113" t="n">
        <v>0</v>
      </c>
    </row>
    <row r="114" spans="1:13">
      <c r="A114" s="1">
        <f>HYPERLINK("http://www.twitter.com/NathanBLawrence/status/998681092239626247", "998681092239626247")</f>
        <v/>
      </c>
      <c r="B114" s="2" t="n">
        <v>43241.90626157408</v>
      </c>
      <c r="C114" t="n">
        <v>3</v>
      </c>
      <c r="D114" t="n">
        <v>1</v>
      </c>
      <c r="E114" t="s">
        <v>125</v>
      </c>
      <c r="F114" t="s"/>
      <c r="G114" t="s"/>
      <c r="H114" t="s"/>
      <c r="I114" t="s"/>
      <c r="J114" t="n">
        <v>-0.901</v>
      </c>
      <c r="K114" t="n">
        <v>0.203</v>
      </c>
      <c r="L114" t="n">
        <v>0.763</v>
      </c>
      <c r="M114" t="n">
        <v>0.034</v>
      </c>
    </row>
    <row r="115" spans="1:13">
      <c r="A115" s="1">
        <f>HYPERLINK("http://www.twitter.com/NathanBLawrence/status/998679553622003712", "998679553622003712")</f>
        <v/>
      </c>
      <c r="B115" s="2" t="n">
        <v>43241.90201388889</v>
      </c>
      <c r="C115" t="n">
        <v>0</v>
      </c>
      <c r="D115" t="n">
        <v>41</v>
      </c>
      <c r="E115" t="s">
        <v>126</v>
      </c>
      <c r="F115">
        <f>HYPERLINK("http://pbs.twimg.com/media/Ddu12M7V4AAYrgR.jpg", "http://pbs.twimg.com/media/Ddu12M7V4AAYrgR.jpg")</f>
        <v/>
      </c>
      <c r="G115" t="s"/>
      <c r="H115" t="s"/>
      <c r="I115" t="s"/>
      <c r="J115" t="n">
        <v>0.675</v>
      </c>
      <c r="K115" t="n">
        <v>0</v>
      </c>
      <c r="L115" t="n">
        <v>0.743</v>
      </c>
      <c r="M115" t="n">
        <v>0.257</v>
      </c>
    </row>
    <row r="116" spans="1:13">
      <c r="A116" s="1">
        <f>HYPERLINK("http://www.twitter.com/NathanBLawrence/status/998679394364239873", "998679394364239873")</f>
        <v/>
      </c>
      <c r="B116" s="2" t="n">
        <v>43241.90157407407</v>
      </c>
      <c r="C116" t="n">
        <v>0</v>
      </c>
      <c r="D116" t="n">
        <v>9</v>
      </c>
      <c r="E116" t="s">
        <v>127</v>
      </c>
      <c r="F116">
        <f>HYPERLINK("http://pbs.twimg.com/media/DduzUTxU8AAwrQT.jpg", "http://pbs.twimg.com/media/DduzUTxU8AAwrQT.jpg")</f>
        <v/>
      </c>
      <c r="G116" t="s"/>
      <c r="H116" t="s"/>
      <c r="I116" t="s"/>
      <c r="J116" t="n">
        <v>0</v>
      </c>
      <c r="K116" t="n">
        <v>0</v>
      </c>
      <c r="L116" t="n">
        <v>1</v>
      </c>
      <c r="M116" t="n">
        <v>0</v>
      </c>
    </row>
    <row r="117" spans="1:13">
      <c r="A117" s="1">
        <f>HYPERLINK("http://www.twitter.com/NathanBLawrence/status/998679083557969920", "998679083557969920")</f>
        <v/>
      </c>
      <c r="B117" s="2" t="n">
        <v>43241.90071759259</v>
      </c>
      <c r="C117" t="n">
        <v>0</v>
      </c>
      <c r="D117" t="n">
        <v>17</v>
      </c>
      <c r="E117" t="s">
        <v>128</v>
      </c>
      <c r="F117">
        <f>HYPERLINK("http://pbs.twimg.com/media/DdurkRqU0AASyPs.jpg", "http://pbs.twimg.com/media/DdurkRqU0AASyPs.jpg")</f>
        <v/>
      </c>
      <c r="G117" t="s"/>
      <c r="H117" t="s"/>
      <c r="I117" t="s"/>
      <c r="J117" t="n">
        <v>-0.4696</v>
      </c>
      <c r="K117" t="n">
        <v>0.127</v>
      </c>
      <c r="L117" t="n">
        <v>0.873</v>
      </c>
      <c r="M117" t="n">
        <v>0</v>
      </c>
    </row>
    <row r="118" spans="1:13">
      <c r="A118" s="1">
        <f>HYPERLINK("http://www.twitter.com/NathanBLawrence/status/998678832881139712", "998678832881139712")</f>
        <v/>
      </c>
      <c r="B118" s="2" t="n">
        <v>43241.90002314815</v>
      </c>
      <c r="C118" t="n">
        <v>0</v>
      </c>
      <c r="D118" t="n">
        <v>2</v>
      </c>
      <c r="E118" t="s">
        <v>129</v>
      </c>
      <c r="F118">
        <f>HYPERLINK("http://pbs.twimg.com/media/DdpLghBUwAE7czs.jpg", "http://pbs.twimg.com/media/DdpLghBUwAE7czs.jpg")</f>
        <v/>
      </c>
      <c r="G118" t="s"/>
      <c r="H118" t="s"/>
      <c r="I118" t="s"/>
      <c r="J118" t="n">
        <v>0.4404</v>
      </c>
      <c r="K118" t="n">
        <v>0</v>
      </c>
      <c r="L118" t="n">
        <v>0.896</v>
      </c>
      <c r="M118" t="n">
        <v>0.104</v>
      </c>
    </row>
    <row r="119" spans="1:13">
      <c r="A119" s="1">
        <f>HYPERLINK("http://www.twitter.com/NathanBLawrence/status/998676852737626112", "998676852737626112")</f>
        <v/>
      </c>
      <c r="B119" s="2" t="n">
        <v>43241.89456018519</v>
      </c>
      <c r="C119" t="n">
        <v>2</v>
      </c>
      <c r="D119" t="n">
        <v>0</v>
      </c>
      <c r="E119" t="s">
        <v>130</v>
      </c>
      <c r="F119" t="s"/>
      <c r="G119" t="s"/>
      <c r="H119" t="s"/>
      <c r="I119" t="s"/>
      <c r="J119" t="n">
        <v>0</v>
      </c>
      <c r="K119" t="n">
        <v>0</v>
      </c>
      <c r="L119" t="n">
        <v>1</v>
      </c>
      <c r="M119" t="n">
        <v>0</v>
      </c>
    </row>
    <row r="120" spans="1:13">
      <c r="A120" s="1">
        <f>HYPERLINK("http://www.twitter.com/NathanBLawrence/status/998674629043437568", "998674629043437568")</f>
        <v/>
      </c>
      <c r="B120" s="2" t="n">
        <v>43241.88842592593</v>
      </c>
      <c r="C120" t="n">
        <v>0</v>
      </c>
      <c r="D120" t="n">
        <v>10</v>
      </c>
      <c r="E120" t="s">
        <v>131</v>
      </c>
      <c r="F120">
        <f>HYPERLINK("http://pbs.twimg.com/media/Ddpv03AV4AApcOy.png", "http://pbs.twimg.com/media/Ddpv03AV4AApcOy.png")</f>
        <v/>
      </c>
      <c r="G120" t="s"/>
      <c r="H120" t="s"/>
      <c r="I120" t="s"/>
      <c r="J120" t="n">
        <v>-0.2263</v>
      </c>
      <c r="K120" t="n">
        <v>0.083</v>
      </c>
      <c r="L120" t="n">
        <v>0.917</v>
      </c>
      <c r="M120" t="n">
        <v>0</v>
      </c>
    </row>
    <row r="121" spans="1:13">
      <c r="A121" s="1">
        <f>HYPERLINK("http://www.twitter.com/NathanBLawrence/status/998673476092219392", "998673476092219392")</f>
        <v/>
      </c>
      <c r="B121" s="2" t="n">
        <v>43241.88524305556</v>
      </c>
      <c r="C121" t="n">
        <v>0</v>
      </c>
      <c r="D121" t="n">
        <v>12</v>
      </c>
      <c r="E121" t="s">
        <v>132</v>
      </c>
      <c r="F121">
        <f>HYPERLINK("http://pbs.twimg.com/media/DdvBqf_VMAA4q7N.jpg", "http://pbs.twimg.com/media/DdvBqf_VMAA4q7N.jpg")</f>
        <v/>
      </c>
      <c r="G121" t="s"/>
      <c r="H121" t="s"/>
      <c r="I121" t="s"/>
      <c r="J121" t="n">
        <v>0</v>
      </c>
      <c r="K121" t="n">
        <v>0</v>
      </c>
      <c r="L121" t="n">
        <v>1</v>
      </c>
      <c r="M121" t="n">
        <v>0</v>
      </c>
    </row>
    <row r="122" spans="1:13">
      <c r="A122" s="1">
        <f>HYPERLINK("http://www.twitter.com/NathanBLawrence/status/998673378004189186", "998673378004189186")</f>
        <v/>
      </c>
      <c r="B122" s="2" t="n">
        <v>43241.88497685185</v>
      </c>
      <c r="C122" t="n">
        <v>0</v>
      </c>
      <c r="D122" t="n">
        <v>4</v>
      </c>
      <c r="E122" t="s">
        <v>133</v>
      </c>
      <c r="F122" t="s"/>
      <c r="G122" t="s"/>
      <c r="H122" t="s"/>
      <c r="I122" t="s"/>
      <c r="J122" t="n">
        <v>0.5859</v>
      </c>
      <c r="K122" t="n">
        <v>0</v>
      </c>
      <c r="L122" t="n">
        <v>0.759</v>
      </c>
      <c r="M122" t="n">
        <v>0.241</v>
      </c>
    </row>
    <row r="123" spans="1:13">
      <c r="A123" s="1">
        <f>HYPERLINK("http://www.twitter.com/NathanBLawrence/status/998673127872778241", "998673127872778241")</f>
        <v/>
      </c>
      <c r="B123" s="2" t="n">
        <v>43241.88428240741</v>
      </c>
      <c r="C123" t="n">
        <v>0</v>
      </c>
      <c r="D123" t="n">
        <v>0</v>
      </c>
      <c r="E123" t="s">
        <v>134</v>
      </c>
      <c r="F123" t="s"/>
      <c r="G123" t="s"/>
      <c r="H123" t="s"/>
      <c r="I123" t="s"/>
      <c r="J123" t="n">
        <v>0.6476</v>
      </c>
      <c r="K123" t="n">
        <v>0.057</v>
      </c>
      <c r="L123" t="n">
        <v>0.775</v>
      </c>
      <c r="M123" t="n">
        <v>0.168</v>
      </c>
    </row>
    <row r="124" spans="1:13">
      <c r="A124" s="1">
        <f>HYPERLINK("http://www.twitter.com/NathanBLawrence/status/998671799423455232", "998671799423455232")</f>
        <v/>
      </c>
      <c r="B124" s="2" t="n">
        <v>43241.880625</v>
      </c>
      <c r="C124" t="n">
        <v>2</v>
      </c>
      <c r="D124" t="n">
        <v>2</v>
      </c>
      <c r="E124" t="s">
        <v>135</v>
      </c>
      <c r="F124" t="s"/>
      <c r="G124" t="s"/>
      <c r="H124" t="s"/>
      <c r="I124" t="s"/>
      <c r="J124" t="n">
        <v>-0.3382</v>
      </c>
      <c r="K124" t="n">
        <v>0.108</v>
      </c>
      <c r="L124" t="n">
        <v>0.892</v>
      </c>
      <c r="M124" t="n">
        <v>0</v>
      </c>
    </row>
    <row r="125" spans="1:13">
      <c r="A125" s="1">
        <f>HYPERLINK("http://www.twitter.com/NathanBLawrence/status/998671171599003648", "998671171599003648")</f>
        <v/>
      </c>
      <c r="B125" s="2" t="n">
        <v>43241.87888888889</v>
      </c>
      <c r="C125" t="n">
        <v>0</v>
      </c>
      <c r="D125" t="n">
        <v>16</v>
      </c>
      <c r="E125" t="s">
        <v>136</v>
      </c>
      <c r="F125">
        <f>HYPERLINK("http://pbs.twimg.com/media/DdpzWo8VMAAcJx7.jpg", "http://pbs.twimg.com/media/DdpzWo8VMAAcJx7.jpg")</f>
        <v/>
      </c>
      <c r="G125" t="s"/>
      <c r="H125" t="s"/>
      <c r="I125" t="s"/>
      <c r="J125" t="n">
        <v>0.34</v>
      </c>
      <c r="K125" t="n">
        <v>0</v>
      </c>
      <c r="L125" t="n">
        <v>0.888</v>
      </c>
      <c r="M125" t="n">
        <v>0.112</v>
      </c>
    </row>
    <row r="126" spans="1:13">
      <c r="A126" s="1">
        <f>HYPERLINK("http://www.twitter.com/NathanBLawrence/status/998669049990017025", "998669049990017025")</f>
        <v/>
      </c>
      <c r="B126" s="2" t="n">
        <v>43241.87303240741</v>
      </c>
      <c r="C126" t="n">
        <v>0</v>
      </c>
      <c r="D126" t="n">
        <v>0</v>
      </c>
      <c r="E126" t="s">
        <v>137</v>
      </c>
      <c r="F126" t="s"/>
      <c r="G126" t="s"/>
      <c r="H126" t="s"/>
      <c r="I126" t="s"/>
      <c r="J126" t="n">
        <v>-0.6514</v>
      </c>
      <c r="K126" t="n">
        <v>0.21</v>
      </c>
      <c r="L126" t="n">
        <v>0.649</v>
      </c>
      <c r="M126" t="n">
        <v>0.141</v>
      </c>
    </row>
    <row r="127" spans="1:13">
      <c r="A127" s="1">
        <f>HYPERLINK("http://www.twitter.com/NathanBLawrence/status/998666468718927872", "998666468718927872")</f>
        <v/>
      </c>
      <c r="B127" s="2" t="n">
        <v>43241.86591435185</v>
      </c>
      <c r="C127" t="n">
        <v>0</v>
      </c>
      <c r="D127" t="n">
        <v>6</v>
      </c>
      <c r="E127" t="s">
        <v>138</v>
      </c>
      <c r="F127" t="s"/>
      <c r="G127" t="s"/>
      <c r="H127" t="s"/>
      <c r="I127" t="s"/>
      <c r="J127" t="n">
        <v>0.4404</v>
      </c>
      <c r="K127" t="n">
        <v>0</v>
      </c>
      <c r="L127" t="n">
        <v>0.837</v>
      </c>
      <c r="M127" t="n">
        <v>0.163</v>
      </c>
    </row>
    <row r="128" spans="1:13">
      <c r="A128" s="1">
        <f>HYPERLINK("http://www.twitter.com/NathanBLawrence/status/998666304436428800", "998666304436428800")</f>
        <v/>
      </c>
      <c r="B128" s="2" t="n">
        <v>43241.86545138889</v>
      </c>
      <c r="C128" t="n">
        <v>0</v>
      </c>
      <c r="D128" t="n">
        <v>0</v>
      </c>
      <c r="E128" t="s">
        <v>139</v>
      </c>
      <c r="F128" t="s"/>
      <c r="G128" t="s"/>
      <c r="H128" t="s"/>
      <c r="I128" t="s"/>
      <c r="J128" t="n">
        <v>0.5461</v>
      </c>
      <c r="K128" t="n">
        <v>0</v>
      </c>
      <c r="L128" t="n">
        <v>0.362</v>
      </c>
      <c r="M128" t="n">
        <v>0.638</v>
      </c>
    </row>
    <row r="129" spans="1:13">
      <c r="A129" s="1">
        <f>HYPERLINK("http://www.twitter.com/NathanBLawrence/status/998666154854895616", "998666154854895616")</f>
        <v/>
      </c>
      <c r="B129" s="2" t="n">
        <v>43241.8650462963</v>
      </c>
      <c r="C129" t="n">
        <v>0</v>
      </c>
      <c r="D129" t="n">
        <v>0</v>
      </c>
      <c r="E129" t="s">
        <v>140</v>
      </c>
      <c r="F129" t="s"/>
      <c r="G129" t="s"/>
      <c r="H129" t="s"/>
      <c r="I129" t="s"/>
      <c r="J129" t="n">
        <v>-0.6037</v>
      </c>
      <c r="K129" t="n">
        <v>0.232</v>
      </c>
      <c r="L129" t="n">
        <v>0.768</v>
      </c>
      <c r="M129" t="n">
        <v>0</v>
      </c>
    </row>
    <row r="130" spans="1:13">
      <c r="A130" s="1">
        <f>HYPERLINK("http://www.twitter.com/NathanBLawrence/status/998665576905031681", "998665576905031681")</f>
        <v/>
      </c>
      <c r="B130" s="2" t="n">
        <v>43241.86344907407</v>
      </c>
      <c r="C130" t="n">
        <v>0</v>
      </c>
      <c r="D130" t="n">
        <v>24</v>
      </c>
      <c r="E130" t="s">
        <v>141</v>
      </c>
      <c r="F130" t="s"/>
      <c r="G130" t="s"/>
      <c r="H130" t="s"/>
      <c r="I130" t="s"/>
      <c r="J130" t="n">
        <v>0.6588000000000001</v>
      </c>
      <c r="K130" t="n">
        <v>0</v>
      </c>
      <c r="L130" t="n">
        <v>0.646</v>
      </c>
      <c r="M130" t="n">
        <v>0.354</v>
      </c>
    </row>
    <row r="131" spans="1:13">
      <c r="A131" s="1">
        <f>HYPERLINK("http://www.twitter.com/NathanBLawrence/status/998664895313862657", "998664895313862657")</f>
        <v/>
      </c>
      <c r="B131" s="2" t="n">
        <v>43241.8615625</v>
      </c>
      <c r="C131" t="n">
        <v>0</v>
      </c>
      <c r="D131" t="n">
        <v>11</v>
      </c>
      <c r="E131" t="s">
        <v>142</v>
      </c>
      <c r="F131" t="s"/>
      <c r="G131" t="s"/>
      <c r="H131" t="s"/>
      <c r="I131" t="s"/>
      <c r="J131" t="n">
        <v>0.8885</v>
      </c>
      <c r="K131" t="n">
        <v>0</v>
      </c>
      <c r="L131" t="n">
        <v>0.6870000000000001</v>
      </c>
      <c r="M131" t="n">
        <v>0.313</v>
      </c>
    </row>
    <row r="132" spans="1:13">
      <c r="A132" s="1">
        <f>HYPERLINK("http://www.twitter.com/NathanBLawrence/status/998663969786101760", "998663969786101760")</f>
        <v/>
      </c>
      <c r="B132" s="2" t="n">
        <v>43241.85901620371</v>
      </c>
      <c r="C132" t="n">
        <v>0</v>
      </c>
      <c r="D132" t="n">
        <v>46</v>
      </c>
      <c r="E132" t="s">
        <v>143</v>
      </c>
      <c r="F132" t="s"/>
      <c r="G132" t="s"/>
      <c r="H132" t="s"/>
      <c r="I132" t="s"/>
      <c r="J132" t="n">
        <v>-0.7003</v>
      </c>
      <c r="K132" t="n">
        <v>0.244</v>
      </c>
      <c r="L132" t="n">
        <v>0.756</v>
      </c>
      <c r="M132" t="n">
        <v>0</v>
      </c>
    </row>
    <row r="133" spans="1:13">
      <c r="A133" s="1">
        <f>HYPERLINK("http://www.twitter.com/NathanBLawrence/status/998661829076238336", "998661829076238336")</f>
        <v/>
      </c>
      <c r="B133" s="2" t="n">
        <v>43241.85310185186</v>
      </c>
      <c r="C133" t="n">
        <v>0</v>
      </c>
      <c r="D133" t="n">
        <v>5</v>
      </c>
      <c r="E133" t="s">
        <v>144</v>
      </c>
      <c r="F133" t="s"/>
      <c r="G133" t="s"/>
      <c r="H133" t="s"/>
      <c r="I133" t="s"/>
      <c r="J133" t="n">
        <v>0.5266999999999999</v>
      </c>
      <c r="K133" t="n">
        <v>0</v>
      </c>
      <c r="L133" t="n">
        <v>0.827</v>
      </c>
      <c r="M133" t="n">
        <v>0.173</v>
      </c>
    </row>
    <row r="134" spans="1:13">
      <c r="A134" s="1">
        <f>HYPERLINK("http://www.twitter.com/NathanBLawrence/status/998661536389345280", "998661536389345280")</f>
        <v/>
      </c>
      <c r="B134" s="2" t="n">
        <v>43241.85230324074</v>
      </c>
      <c r="C134" t="n">
        <v>0</v>
      </c>
      <c r="D134" t="n">
        <v>4</v>
      </c>
      <c r="E134" t="s">
        <v>145</v>
      </c>
      <c r="F134" t="s"/>
      <c r="G134" t="s"/>
      <c r="H134" t="s"/>
      <c r="I134" t="s"/>
      <c r="J134" t="n">
        <v>0.7423999999999999</v>
      </c>
      <c r="K134" t="n">
        <v>0</v>
      </c>
      <c r="L134" t="n">
        <v>0.628</v>
      </c>
      <c r="M134" t="n">
        <v>0.372</v>
      </c>
    </row>
    <row r="135" spans="1:13">
      <c r="A135" s="1">
        <f>HYPERLINK("http://www.twitter.com/NathanBLawrence/status/998660623058677760", "998660623058677760")</f>
        <v/>
      </c>
      <c r="B135" s="2" t="n">
        <v>43241.84978009259</v>
      </c>
      <c r="C135" t="n">
        <v>0</v>
      </c>
      <c r="D135" t="n">
        <v>4</v>
      </c>
      <c r="E135" t="s">
        <v>146</v>
      </c>
      <c r="F135" t="s"/>
      <c r="G135" t="s"/>
      <c r="H135" t="s"/>
      <c r="I135" t="s"/>
      <c r="J135" t="n">
        <v>0.6705</v>
      </c>
      <c r="K135" t="n">
        <v>0</v>
      </c>
      <c r="L135" t="n">
        <v>0.732</v>
      </c>
      <c r="M135" t="n">
        <v>0.268</v>
      </c>
    </row>
    <row r="136" spans="1:13">
      <c r="A136" s="1">
        <f>HYPERLINK("http://www.twitter.com/NathanBLawrence/status/998660493697998849", "998660493697998849")</f>
        <v/>
      </c>
      <c r="B136" s="2" t="n">
        <v>43241.8494212963</v>
      </c>
      <c r="C136" t="n">
        <v>0</v>
      </c>
      <c r="D136" t="n">
        <v>0</v>
      </c>
      <c r="E136" t="s">
        <v>147</v>
      </c>
      <c r="F136" t="s"/>
      <c r="G136" t="s"/>
      <c r="H136" t="s"/>
      <c r="I136" t="s"/>
      <c r="J136" t="n">
        <v>0</v>
      </c>
      <c r="K136" t="n">
        <v>0</v>
      </c>
      <c r="L136" t="n">
        <v>1</v>
      </c>
      <c r="M136" t="n">
        <v>0</v>
      </c>
    </row>
    <row r="137" spans="1:13">
      <c r="A137" s="1">
        <f>HYPERLINK("http://www.twitter.com/NathanBLawrence/status/998660263724302336", "998660263724302336")</f>
        <v/>
      </c>
      <c r="B137" s="2" t="n">
        <v>43241.84878472222</v>
      </c>
      <c r="C137" t="n">
        <v>0</v>
      </c>
      <c r="D137" t="n">
        <v>0</v>
      </c>
      <c r="E137" t="s">
        <v>148</v>
      </c>
      <c r="F137" t="s"/>
      <c r="G137" t="s"/>
      <c r="H137" t="s"/>
      <c r="I137" t="s"/>
      <c r="J137" t="n">
        <v>-0.7003</v>
      </c>
      <c r="K137" t="n">
        <v>0.216</v>
      </c>
      <c r="L137" t="n">
        <v>0.784</v>
      </c>
      <c r="M137" t="n">
        <v>0</v>
      </c>
    </row>
    <row r="138" spans="1:13">
      <c r="A138" s="1">
        <f>HYPERLINK("http://www.twitter.com/NathanBLawrence/status/998659493436178432", "998659493436178432")</f>
        <v/>
      </c>
      <c r="B138" s="2" t="n">
        <v>43241.84666666666</v>
      </c>
      <c r="C138" t="n">
        <v>0</v>
      </c>
      <c r="D138" t="n">
        <v>83</v>
      </c>
      <c r="E138" t="s">
        <v>149</v>
      </c>
      <c r="F138" t="s"/>
      <c r="G138" t="s"/>
      <c r="H138" t="s"/>
      <c r="I138" t="s"/>
      <c r="J138" t="n">
        <v>-0.3612</v>
      </c>
      <c r="K138" t="n">
        <v>0.111</v>
      </c>
      <c r="L138" t="n">
        <v>0.889</v>
      </c>
      <c r="M138" t="n">
        <v>0</v>
      </c>
    </row>
    <row r="139" spans="1:13">
      <c r="A139" s="1">
        <f>HYPERLINK("http://www.twitter.com/NathanBLawrence/status/998659391573274624", "998659391573274624")</f>
        <v/>
      </c>
      <c r="B139" s="2" t="n">
        <v>43241.84637731482</v>
      </c>
      <c r="C139" t="n">
        <v>0</v>
      </c>
      <c r="D139" t="n">
        <v>3</v>
      </c>
      <c r="E139" t="s">
        <v>150</v>
      </c>
      <c r="F139" t="s"/>
      <c r="G139" t="s"/>
      <c r="H139" t="s"/>
      <c r="I139" t="s"/>
      <c r="J139" t="n">
        <v>0.2086</v>
      </c>
      <c r="K139" t="n">
        <v>0.17</v>
      </c>
      <c r="L139" t="n">
        <v>0.6860000000000001</v>
      </c>
      <c r="M139" t="n">
        <v>0.144</v>
      </c>
    </row>
    <row r="140" spans="1:13">
      <c r="A140" s="1">
        <f>HYPERLINK("http://www.twitter.com/NathanBLawrence/status/998659290100477952", "998659290100477952")</f>
        <v/>
      </c>
      <c r="B140" s="2" t="n">
        <v>43241.84609953704</v>
      </c>
      <c r="C140" t="n">
        <v>1</v>
      </c>
      <c r="D140" t="n">
        <v>0</v>
      </c>
      <c r="E140" t="s">
        <v>151</v>
      </c>
      <c r="F140" t="s"/>
      <c r="G140" t="s"/>
      <c r="H140" t="s"/>
      <c r="I140" t="s"/>
      <c r="J140" t="n">
        <v>0</v>
      </c>
      <c r="K140" t="n">
        <v>0</v>
      </c>
      <c r="L140" t="n">
        <v>1</v>
      </c>
      <c r="M140" t="n">
        <v>0</v>
      </c>
    </row>
    <row r="141" spans="1:13">
      <c r="A141" s="1">
        <f>HYPERLINK("http://www.twitter.com/NathanBLawrence/status/998658890983075840", "998658890983075840")</f>
        <v/>
      </c>
      <c r="B141" s="2" t="n">
        <v>43241.845</v>
      </c>
      <c r="C141" t="n">
        <v>0</v>
      </c>
      <c r="D141" t="n">
        <v>2</v>
      </c>
      <c r="E141" t="s">
        <v>152</v>
      </c>
      <c r="F141" t="s"/>
      <c r="G141" t="s"/>
      <c r="H141" t="s"/>
      <c r="I141" t="s"/>
      <c r="J141" t="n">
        <v>-0.6597</v>
      </c>
      <c r="K141" t="n">
        <v>0.242</v>
      </c>
      <c r="L141" t="n">
        <v>0.758</v>
      </c>
      <c r="M141" t="n">
        <v>0</v>
      </c>
    </row>
    <row r="142" spans="1:13">
      <c r="A142" s="1">
        <f>HYPERLINK("http://www.twitter.com/NathanBLawrence/status/998658673764319232", "998658673764319232")</f>
        <v/>
      </c>
      <c r="B142" s="2" t="n">
        <v>43241.84439814815</v>
      </c>
      <c r="C142" t="n">
        <v>0</v>
      </c>
      <c r="D142" t="n">
        <v>2</v>
      </c>
      <c r="E142" t="s">
        <v>153</v>
      </c>
      <c r="F142">
        <f>HYPERLINK("http://pbs.twimg.com/media/DdsCN6fUQAAtQCO.jpg", "http://pbs.twimg.com/media/DdsCN6fUQAAtQCO.jpg")</f>
        <v/>
      </c>
      <c r="G142" t="s"/>
      <c r="H142" t="s"/>
      <c r="I142" t="s"/>
      <c r="J142" t="n">
        <v>-0.5574</v>
      </c>
      <c r="K142" t="n">
        <v>0.146</v>
      </c>
      <c r="L142" t="n">
        <v>0.854</v>
      </c>
      <c r="M142" t="n">
        <v>0</v>
      </c>
    </row>
    <row r="143" spans="1:13">
      <c r="A143" s="1">
        <f>HYPERLINK("http://www.twitter.com/NathanBLawrence/status/998658291868696576", "998658291868696576")</f>
        <v/>
      </c>
      <c r="B143" s="2" t="n">
        <v>43241.84334490741</v>
      </c>
      <c r="C143" t="n">
        <v>0</v>
      </c>
      <c r="D143" t="n">
        <v>2</v>
      </c>
      <c r="E143" t="s">
        <v>154</v>
      </c>
      <c r="F143">
        <f>HYPERLINK("http://pbs.twimg.com/media/Ddr94yBVAAANyIv.jpg", "http://pbs.twimg.com/media/Ddr94yBVAAANyIv.jpg")</f>
        <v/>
      </c>
      <c r="G143" t="s"/>
      <c r="H143" t="s"/>
      <c r="I143" t="s"/>
      <c r="J143" t="n">
        <v>-0.4926</v>
      </c>
      <c r="K143" t="n">
        <v>0.144</v>
      </c>
      <c r="L143" t="n">
        <v>0.856</v>
      </c>
      <c r="M143" t="n">
        <v>0</v>
      </c>
    </row>
    <row r="144" spans="1:13">
      <c r="A144" s="1">
        <f>HYPERLINK("http://www.twitter.com/NathanBLawrence/status/998658272298123265", "998658272298123265")</f>
        <v/>
      </c>
      <c r="B144" s="2" t="n">
        <v>43241.84328703704</v>
      </c>
      <c r="C144" t="n">
        <v>0</v>
      </c>
      <c r="D144" t="n">
        <v>5</v>
      </c>
      <c r="E144" t="s">
        <v>155</v>
      </c>
      <c r="F144" t="s"/>
      <c r="G144" t="s"/>
      <c r="H144" t="s"/>
      <c r="I144" t="s"/>
      <c r="J144" t="n">
        <v>0</v>
      </c>
      <c r="K144" t="n">
        <v>0</v>
      </c>
      <c r="L144" t="n">
        <v>1</v>
      </c>
      <c r="M144" t="n">
        <v>0</v>
      </c>
    </row>
    <row r="145" spans="1:13">
      <c r="A145" s="1">
        <f>HYPERLINK("http://www.twitter.com/NathanBLawrence/status/998658157260881920", "998658157260881920")</f>
        <v/>
      </c>
      <c r="B145" s="2" t="n">
        <v>43241.84297453704</v>
      </c>
      <c r="C145" t="n">
        <v>0</v>
      </c>
      <c r="D145" t="n">
        <v>0</v>
      </c>
      <c r="E145" t="s">
        <v>156</v>
      </c>
      <c r="F145" t="s"/>
      <c r="G145" t="s"/>
      <c r="H145" t="s"/>
      <c r="I145" t="s"/>
      <c r="J145" t="n">
        <v>0.3182</v>
      </c>
      <c r="K145" t="n">
        <v>0</v>
      </c>
      <c r="L145" t="n">
        <v>0.9379999999999999</v>
      </c>
      <c r="M145" t="n">
        <v>0.062</v>
      </c>
    </row>
    <row r="146" spans="1:13">
      <c r="A146" s="1">
        <f>HYPERLINK("http://www.twitter.com/NathanBLawrence/status/998655976134791169", "998655976134791169")</f>
        <v/>
      </c>
      <c r="B146" s="2" t="n">
        <v>43241.83695601852</v>
      </c>
      <c r="C146" t="n">
        <v>0</v>
      </c>
      <c r="D146" t="n">
        <v>3</v>
      </c>
      <c r="E146" t="s">
        <v>157</v>
      </c>
      <c r="F146">
        <f>HYPERLINK("http://pbs.twimg.com/media/Ddq3nYYVAAE-8mK.jpg", "http://pbs.twimg.com/media/Ddq3nYYVAAE-8mK.jpg")</f>
        <v/>
      </c>
      <c r="G146" t="s"/>
      <c r="H146" t="s"/>
      <c r="I146" t="s"/>
      <c r="J146" t="n">
        <v>0.4019</v>
      </c>
      <c r="K146" t="n">
        <v>0</v>
      </c>
      <c r="L146" t="n">
        <v>0.863</v>
      </c>
      <c r="M146" t="n">
        <v>0.137</v>
      </c>
    </row>
    <row r="147" spans="1:13">
      <c r="A147" s="1">
        <f>HYPERLINK("http://www.twitter.com/NathanBLawrence/status/998655816143069187", "998655816143069187")</f>
        <v/>
      </c>
      <c r="B147" s="2" t="n">
        <v>43241.8365162037</v>
      </c>
      <c r="C147" t="n">
        <v>0</v>
      </c>
      <c r="D147" t="n">
        <v>2</v>
      </c>
      <c r="E147" t="s">
        <v>158</v>
      </c>
      <c r="F147">
        <f>HYPERLINK("http://pbs.twimg.com/media/Ddq2WEEU8AA2Qmz.jpg", "http://pbs.twimg.com/media/Ddq2WEEU8AA2Qmz.jpg")</f>
        <v/>
      </c>
      <c r="G147" t="s"/>
      <c r="H147" t="s"/>
      <c r="I147" t="s"/>
      <c r="J147" t="n">
        <v>0.6461</v>
      </c>
      <c r="K147" t="n">
        <v>0</v>
      </c>
      <c r="L147" t="n">
        <v>0.791</v>
      </c>
      <c r="M147" t="n">
        <v>0.209</v>
      </c>
    </row>
    <row r="148" spans="1:13">
      <c r="A148" s="1">
        <f>HYPERLINK("http://www.twitter.com/NathanBLawrence/status/998655632973619201", "998655632973619201")</f>
        <v/>
      </c>
      <c r="B148" s="2" t="n">
        <v>43241.83600694445</v>
      </c>
      <c r="C148" t="n">
        <v>0</v>
      </c>
      <c r="D148" t="n">
        <v>2</v>
      </c>
      <c r="E148" t="s">
        <v>159</v>
      </c>
      <c r="F148">
        <f>HYPERLINK("http://pbs.twimg.com/media/Ddq6aPlU0AAngVy.jpg", "http://pbs.twimg.com/media/Ddq6aPlU0AAngVy.jpg")</f>
        <v/>
      </c>
      <c r="G148" t="s"/>
      <c r="H148" t="s"/>
      <c r="I148" t="s"/>
      <c r="J148" t="n">
        <v>-0.3818</v>
      </c>
      <c r="K148" t="n">
        <v>0.11</v>
      </c>
      <c r="L148" t="n">
        <v>0.89</v>
      </c>
      <c r="M148" t="n">
        <v>0</v>
      </c>
    </row>
    <row r="149" spans="1:13">
      <c r="A149" s="1">
        <f>HYPERLINK("http://www.twitter.com/NathanBLawrence/status/998655523850412033", "998655523850412033")</f>
        <v/>
      </c>
      <c r="B149" s="2" t="n">
        <v>43241.83570601852</v>
      </c>
      <c r="C149" t="n">
        <v>0</v>
      </c>
      <c r="D149" t="n">
        <v>2</v>
      </c>
      <c r="E149" t="s">
        <v>160</v>
      </c>
      <c r="F149" t="s"/>
      <c r="G149" t="s"/>
      <c r="H149" t="s"/>
      <c r="I149" t="s"/>
      <c r="J149" t="n">
        <v>-0.296</v>
      </c>
      <c r="K149" t="n">
        <v>0.095</v>
      </c>
      <c r="L149" t="n">
        <v>0.905</v>
      </c>
      <c r="M149" t="n">
        <v>0</v>
      </c>
    </row>
    <row r="150" spans="1:13">
      <c r="A150" s="1">
        <f>HYPERLINK("http://www.twitter.com/NathanBLawrence/status/998655461615288320", "998655461615288320")</f>
        <v/>
      </c>
      <c r="B150" s="2" t="n">
        <v>43241.83553240741</v>
      </c>
      <c r="C150" t="n">
        <v>0</v>
      </c>
      <c r="D150" t="n">
        <v>2</v>
      </c>
      <c r="E150" t="s">
        <v>161</v>
      </c>
      <c r="F150">
        <f>HYPERLINK("http://pbs.twimg.com/media/Ddr54XvUwAA4IpX.jpg", "http://pbs.twimg.com/media/Ddr54XvUwAA4IpX.jpg")</f>
        <v/>
      </c>
      <c r="G150" t="s"/>
      <c r="H150" t="s"/>
      <c r="I150" t="s"/>
      <c r="J150" t="n">
        <v>0</v>
      </c>
      <c r="K150" t="n">
        <v>0</v>
      </c>
      <c r="L150" t="n">
        <v>1</v>
      </c>
      <c r="M150" t="n">
        <v>0</v>
      </c>
    </row>
    <row r="151" spans="1:13">
      <c r="A151" s="1">
        <f>HYPERLINK("http://www.twitter.com/NathanBLawrence/status/998655333349318660", "998655333349318660")</f>
        <v/>
      </c>
      <c r="B151" s="2" t="n">
        <v>43241.83518518518</v>
      </c>
      <c r="C151" t="n">
        <v>0</v>
      </c>
      <c r="D151" t="n">
        <v>2</v>
      </c>
      <c r="E151" t="s">
        <v>162</v>
      </c>
      <c r="F151">
        <f>HYPERLINK("http://pbs.twimg.com/media/Ddr5LzcVwAEwqjO.jpg", "http://pbs.twimg.com/media/Ddr5LzcVwAEwqjO.jpg")</f>
        <v/>
      </c>
      <c r="G151" t="s"/>
      <c r="H151" t="s"/>
      <c r="I151" t="s"/>
      <c r="J151" t="n">
        <v>0.0772</v>
      </c>
      <c r="K151" t="n">
        <v>0.093</v>
      </c>
      <c r="L151" t="n">
        <v>0.802</v>
      </c>
      <c r="M151" t="n">
        <v>0.105</v>
      </c>
    </row>
    <row r="152" spans="1:13">
      <c r="A152" s="1">
        <f>HYPERLINK("http://www.twitter.com/NathanBLawrence/status/998655188817797120", "998655188817797120")</f>
        <v/>
      </c>
      <c r="B152" s="2" t="n">
        <v>43241.83478009259</v>
      </c>
      <c r="C152" t="n">
        <v>0</v>
      </c>
      <c r="D152" t="n">
        <v>3</v>
      </c>
      <c r="E152" t="s">
        <v>163</v>
      </c>
      <c r="F152">
        <f>HYPERLINK("http://pbs.twimg.com/media/Ddr3i8nVQAA2aBB.jpg", "http://pbs.twimg.com/media/Ddr3i8nVQAA2aBB.jpg")</f>
        <v/>
      </c>
      <c r="G152" t="s"/>
      <c r="H152" t="s"/>
      <c r="I152" t="s"/>
      <c r="J152" t="n">
        <v>-0.4404</v>
      </c>
      <c r="K152" t="n">
        <v>0.127</v>
      </c>
      <c r="L152" t="n">
        <v>0.873</v>
      </c>
      <c r="M152" t="n">
        <v>0</v>
      </c>
    </row>
    <row r="153" spans="1:13">
      <c r="A153" s="1">
        <f>HYPERLINK("http://www.twitter.com/NathanBLawrence/status/998655009125425153", "998655009125425153")</f>
        <v/>
      </c>
      <c r="B153" s="2" t="n">
        <v>43241.83428240741</v>
      </c>
      <c r="C153" t="n">
        <v>0</v>
      </c>
      <c r="D153" t="n">
        <v>5</v>
      </c>
      <c r="E153" t="s">
        <v>164</v>
      </c>
      <c r="F153" t="s"/>
      <c r="G153" t="s"/>
      <c r="H153" t="s"/>
      <c r="I153" t="s"/>
      <c r="J153" t="n">
        <v>0.4019</v>
      </c>
      <c r="K153" t="n">
        <v>0</v>
      </c>
      <c r="L153" t="n">
        <v>0.881</v>
      </c>
      <c r="M153" t="n">
        <v>0.119</v>
      </c>
    </row>
    <row r="154" spans="1:13">
      <c r="A154" s="1">
        <f>HYPERLINK("http://www.twitter.com/NathanBLawrence/status/998654838790475776", "998654838790475776")</f>
        <v/>
      </c>
      <c r="B154" s="2" t="n">
        <v>43241.83381944444</v>
      </c>
      <c r="C154" t="n">
        <v>0</v>
      </c>
      <c r="D154" t="n">
        <v>3</v>
      </c>
      <c r="E154" t="s">
        <v>165</v>
      </c>
      <c r="F154" t="s"/>
      <c r="G154" t="s"/>
      <c r="H154" t="s"/>
      <c r="I154" t="s"/>
      <c r="J154" t="n">
        <v>-0.296</v>
      </c>
      <c r="K154" t="n">
        <v>0.109</v>
      </c>
      <c r="L154" t="n">
        <v>0.891</v>
      </c>
      <c r="M154" t="n">
        <v>0</v>
      </c>
    </row>
    <row r="155" spans="1:13">
      <c r="A155" s="1">
        <f>HYPERLINK("http://www.twitter.com/NathanBLawrence/status/998654578219409408", "998654578219409408")</f>
        <v/>
      </c>
      <c r="B155" s="2" t="n">
        <v>43241.83310185185</v>
      </c>
      <c r="C155" t="n">
        <v>0</v>
      </c>
      <c r="D155" t="n">
        <v>4</v>
      </c>
      <c r="E155" t="s">
        <v>166</v>
      </c>
      <c r="F155">
        <f>HYPERLINK("http://pbs.twimg.com/media/Ddr8BtAUwAAkg8b.jpg", "http://pbs.twimg.com/media/Ddr8BtAUwAAkg8b.jpg")</f>
        <v/>
      </c>
      <c r="G155" t="s"/>
      <c r="H155" t="s"/>
      <c r="I155" t="s"/>
      <c r="J155" t="n">
        <v>0</v>
      </c>
      <c r="K155" t="n">
        <v>0</v>
      </c>
      <c r="L155" t="n">
        <v>1</v>
      </c>
      <c r="M155" t="n">
        <v>0</v>
      </c>
    </row>
    <row r="156" spans="1:13">
      <c r="A156" s="1">
        <f>HYPERLINK("http://www.twitter.com/NathanBLawrence/status/998645798597419009", "998645798597419009")</f>
        <v/>
      </c>
      <c r="B156" s="2" t="n">
        <v>43241.80886574074</v>
      </c>
      <c r="C156" t="n">
        <v>0</v>
      </c>
      <c r="D156" t="n">
        <v>2048</v>
      </c>
      <c r="E156" t="s">
        <v>167</v>
      </c>
      <c r="F156" t="s"/>
      <c r="G156" t="s"/>
      <c r="H156" t="s"/>
      <c r="I156" t="s"/>
      <c r="J156" t="n">
        <v>-0.802</v>
      </c>
      <c r="K156" t="n">
        <v>0.351</v>
      </c>
      <c r="L156" t="n">
        <v>0.649</v>
      </c>
      <c r="M156" t="n">
        <v>0</v>
      </c>
    </row>
    <row r="157" spans="1:13">
      <c r="A157" s="1">
        <f>HYPERLINK("http://www.twitter.com/NathanBLawrence/status/998645652551647232", "998645652551647232")</f>
        <v/>
      </c>
      <c r="B157" s="2" t="n">
        <v>43241.80847222222</v>
      </c>
      <c r="C157" t="n">
        <v>0</v>
      </c>
      <c r="D157" t="n">
        <v>508</v>
      </c>
      <c r="E157" t="s">
        <v>168</v>
      </c>
      <c r="F157" t="s"/>
      <c r="G157" t="s"/>
      <c r="H157" t="s"/>
      <c r="I157" t="s"/>
      <c r="J157" t="n">
        <v>-0.4767</v>
      </c>
      <c r="K157" t="n">
        <v>0.14</v>
      </c>
      <c r="L157" t="n">
        <v>0.86</v>
      </c>
      <c r="M157" t="n">
        <v>0</v>
      </c>
    </row>
    <row r="158" spans="1:13">
      <c r="A158" s="1">
        <f>HYPERLINK("http://www.twitter.com/NathanBLawrence/status/998645568363683842", "998645568363683842")</f>
        <v/>
      </c>
      <c r="B158" s="2" t="n">
        <v>43241.80824074074</v>
      </c>
      <c r="C158" t="n">
        <v>0</v>
      </c>
      <c r="D158" t="n">
        <v>318</v>
      </c>
      <c r="E158" t="s">
        <v>169</v>
      </c>
      <c r="F158">
        <f>HYPERLINK("http://pbs.twimg.com/media/DduV_GbU8AAv8l1.jpg", "http://pbs.twimg.com/media/DduV_GbU8AAv8l1.jpg")</f>
        <v/>
      </c>
      <c r="G158" t="s"/>
      <c r="H158" t="s"/>
      <c r="I158" t="s"/>
      <c r="J158" t="n">
        <v>0.8074</v>
      </c>
      <c r="K158" t="n">
        <v>0</v>
      </c>
      <c r="L158" t="n">
        <v>0.7</v>
      </c>
      <c r="M158" t="n">
        <v>0.3</v>
      </c>
    </row>
    <row r="159" spans="1:13">
      <c r="A159" s="1">
        <f>HYPERLINK("http://www.twitter.com/NathanBLawrence/status/998645505348460548", "998645505348460548")</f>
        <v/>
      </c>
      <c r="B159" s="2" t="n">
        <v>43241.80806712963</v>
      </c>
      <c r="C159" t="n">
        <v>0</v>
      </c>
      <c r="D159" t="n">
        <v>980</v>
      </c>
      <c r="E159" t="s">
        <v>170</v>
      </c>
      <c r="F159">
        <f>HYPERLINK("http://pbs.twimg.com/media/DdufnGrVAAA2LSS.jpg", "http://pbs.twimg.com/media/DdufnGrVAAA2LSS.jpg")</f>
        <v/>
      </c>
      <c r="G159" t="s"/>
      <c r="H159" t="s"/>
      <c r="I159" t="s"/>
      <c r="J159" t="n">
        <v>0</v>
      </c>
      <c r="K159" t="n">
        <v>0</v>
      </c>
      <c r="L159" t="n">
        <v>1</v>
      </c>
      <c r="M159" t="n">
        <v>0</v>
      </c>
    </row>
    <row r="160" spans="1:13">
      <c r="A160" s="1">
        <f>HYPERLINK("http://www.twitter.com/NathanBLawrence/status/998645443616694273", "998645443616694273")</f>
        <v/>
      </c>
      <c r="B160" s="2" t="n">
        <v>43241.80789351852</v>
      </c>
      <c r="C160" t="n">
        <v>0</v>
      </c>
      <c r="D160" t="n">
        <v>986</v>
      </c>
      <c r="E160" t="s">
        <v>171</v>
      </c>
      <c r="F160">
        <f>HYPERLINK("https://video.twimg.com/amplify_video/998539223786401792/vid/1280x720/i3DteKWBtx-lBdr3.mp4?tag=2", "https://video.twimg.com/amplify_video/998539223786401792/vid/1280x720/i3DteKWBtx-lBdr3.mp4?tag=2")</f>
        <v/>
      </c>
      <c r="G160" t="s"/>
      <c r="H160" t="s"/>
      <c r="I160" t="s"/>
      <c r="J160" t="n">
        <v>-0.4926</v>
      </c>
      <c r="K160" t="n">
        <v>0.347</v>
      </c>
      <c r="L160" t="n">
        <v>0.653</v>
      </c>
      <c r="M160" t="n">
        <v>0</v>
      </c>
    </row>
    <row r="161" spans="1:13">
      <c r="A161" s="1">
        <f>HYPERLINK("http://www.twitter.com/NathanBLawrence/status/998645395185065984", "998645395185065984")</f>
        <v/>
      </c>
      <c r="B161" s="2" t="n">
        <v>43241.80775462963</v>
      </c>
      <c r="C161" t="n">
        <v>0</v>
      </c>
      <c r="D161" t="n">
        <v>65</v>
      </c>
      <c r="E161" t="s">
        <v>172</v>
      </c>
      <c r="F161" t="s"/>
      <c r="G161" t="s"/>
      <c r="H161" t="s"/>
      <c r="I161" t="s"/>
      <c r="J161" t="n">
        <v>0</v>
      </c>
      <c r="K161" t="n">
        <v>0</v>
      </c>
      <c r="L161" t="n">
        <v>1</v>
      </c>
      <c r="M161" t="n">
        <v>0</v>
      </c>
    </row>
    <row r="162" spans="1:13">
      <c r="A162" s="1">
        <f>HYPERLINK("http://www.twitter.com/NathanBLawrence/status/998645337219723265", "998645337219723265")</f>
        <v/>
      </c>
      <c r="B162" s="2" t="n">
        <v>43241.8075925926</v>
      </c>
      <c r="C162" t="n">
        <v>0</v>
      </c>
      <c r="D162" t="n">
        <v>3375</v>
      </c>
      <c r="E162" t="s">
        <v>173</v>
      </c>
      <c r="F162" t="s"/>
      <c r="G162" t="s"/>
      <c r="H162" t="s"/>
      <c r="I162" t="s"/>
      <c r="J162" t="n">
        <v>-0.4767</v>
      </c>
      <c r="K162" t="n">
        <v>0.151</v>
      </c>
      <c r="L162" t="n">
        <v>0.849</v>
      </c>
      <c r="M162" t="n">
        <v>0</v>
      </c>
    </row>
    <row r="163" spans="1:13">
      <c r="A163" s="1">
        <f>HYPERLINK("http://www.twitter.com/NathanBLawrence/status/998645156545945602", "998645156545945602")</f>
        <v/>
      </c>
      <c r="B163" s="2" t="n">
        <v>43241.80709490741</v>
      </c>
      <c r="C163" t="n">
        <v>0</v>
      </c>
      <c r="D163" t="n">
        <v>681</v>
      </c>
      <c r="E163" t="s">
        <v>174</v>
      </c>
      <c r="F163">
        <f>HYPERLINK("http://pbs.twimg.com/media/DduBr2VV0AA7xzy.jpg", "http://pbs.twimg.com/media/DduBr2VV0AA7xzy.jpg")</f>
        <v/>
      </c>
      <c r="G163" t="s"/>
      <c r="H163" t="s"/>
      <c r="I163" t="s"/>
      <c r="J163" t="n">
        <v>0.4019</v>
      </c>
      <c r="K163" t="n">
        <v>0</v>
      </c>
      <c r="L163" t="n">
        <v>0.863</v>
      </c>
      <c r="M163" t="n">
        <v>0.137</v>
      </c>
    </row>
    <row r="164" spans="1:13">
      <c r="A164" s="1">
        <f>HYPERLINK("http://www.twitter.com/NathanBLawrence/status/998645097943130112", "998645097943130112")</f>
        <v/>
      </c>
      <c r="B164" s="2" t="n">
        <v>43241.80693287037</v>
      </c>
      <c r="C164" t="n">
        <v>0</v>
      </c>
      <c r="D164" t="n">
        <v>813</v>
      </c>
      <c r="E164" t="s">
        <v>175</v>
      </c>
      <c r="F164" t="s"/>
      <c r="G164" t="s"/>
      <c r="H164" t="s"/>
      <c r="I164" t="s"/>
      <c r="J164" t="n">
        <v>-0.7096</v>
      </c>
      <c r="K164" t="n">
        <v>0.211</v>
      </c>
      <c r="L164" t="n">
        <v>0.789</v>
      </c>
      <c r="M164" t="n">
        <v>0</v>
      </c>
    </row>
    <row r="165" spans="1:13">
      <c r="A165" s="1">
        <f>HYPERLINK("http://www.twitter.com/NathanBLawrence/status/998645028690931712", "998645028690931712")</f>
        <v/>
      </c>
      <c r="B165" s="2" t="n">
        <v>43241.80674768519</v>
      </c>
      <c r="C165" t="n">
        <v>0</v>
      </c>
      <c r="D165" t="n">
        <v>367</v>
      </c>
      <c r="E165" t="s">
        <v>176</v>
      </c>
      <c r="F165">
        <f>HYPERLINK("https://video.twimg.com/amplify_video/998512899495727113/vid/1280x720/nditQfUodmw1cfWk.mp4?tag=2", "https://video.twimg.com/amplify_video/998512899495727113/vid/1280x720/nditQfUodmw1cfWk.mp4?tag=2")</f>
        <v/>
      </c>
      <c r="G165" t="s"/>
      <c r="H165" t="s"/>
      <c r="I165" t="s"/>
      <c r="J165" t="n">
        <v>-0.7096</v>
      </c>
      <c r="K165" t="n">
        <v>0.345</v>
      </c>
      <c r="L165" t="n">
        <v>0.536</v>
      </c>
      <c r="M165" t="n">
        <v>0.119</v>
      </c>
    </row>
    <row r="166" spans="1:13">
      <c r="A166" s="1">
        <f>HYPERLINK("http://www.twitter.com/NathanBLawrence/status/998644916262658049", "998644916262658049")</f>
        <v/>
      </c>
      <c r="B166" s="2" t="n">
        <v>43241.80643518519</v>
      </c>
      <c r="C166" t="n">
        <v>0</v>
      </c>
      <c r="D166" t="n">
        <v>2512</v>
      </c>
      <c r="E166" t="s">
        <v>177</v>
      </c>
      <c r="F166" t="s"/>
      <c r="G166" t="s"/>
      <c r="H166" t="s"/>
      <c r="I166" t="s"/>
      <c r="J166" t="n">
        <v>-0.1531</v>
      </c>
      <c r="K166" t="n">
        <v>0.185</v>
      </c>
      <c r="L166" t="n">
        <v>0.651</v>
      </c>
      <c r="M166" t="n">
        <v>0.164</v>
      </c>
    </row>
    <row r="167" spans="1:13">
      <c r="A167" s="1">
        <f>HYPERLINK("http://www.twitter.com/NathanBLawrence/status/998644830271029248", "998644830271029248")</f>
        <v/>
      </c>
      <c r="B167" s="2" t="n">
        <v>43241.8062037037</v>
      </c>
      <c r="C167" t="n">
        <v>0</v>
      </c>
      <c r="D167" t="n">
        <v>789</v>
      </c>
      <c r="E167" t="s">
        <v>178</v>
      </c>
      <c r="F167" t="s"/>
      <c r="G167" t="s"/>
      <c r="H167" t="s"/>
      <c r="I167" t="s"/>
      <c r="J167" t="n">
        <v>-0.5587</v>
      </c>
      <c r="K167" t="n">
        <v>0.364</v>
      </c>
      <c r="L167" t="n">
        <v>0.453</v>
      </c>
      <c r="M167" t="n">
        <v>0.183</v>
      </c>
    </row>
    <row r="168" spans="1:13">
      <c r="A168" s="1">
        <f>HYPERLINK("http://www.twitter.com/NathanBLawrence/status/998644785362624513", "998644785362624513")</f>
        <v/>
      </c>
      <c r="B168" s="2" t="n">
        <v>43241.80607638889</v>
      </c>
      <c r="C168" t="n">
        <v>0</v>
      </c>
      <c r="D168" t="n">
        <v>1504</v>
      </c>
      <c r="E168" t="s">
        <v>179</v>
      </c>
      <c r="F168">
        <f>HYPERLINK("https://video.twimg.com/ext_tw_video/862311084987867136/pu/vid/1280x720/Od5Ehb96ILnEEia1.mp4", "https://video.twimg.com/ext_tw_video/862311084987867136/pu/vid/1280x720/Od5Ehb96ILnEEia1.mp4")</f>
        <v/>
      </c>
      <c r="G168" t="s"/>
      <c r="H168" t="s"/>
      <c r="I168" t="s"/>
      <c r="J168" t="n">
        <v>0.2732</v>
      </c>
      <c r="K168" t="n">
        <v>0</v>
      </c>
      <c r="L168" t="n">
        <v>0.89</v>
      </c>
      <c r="M168" t="n">
        <v>0.11</v>
      </c>
    </row>
    <row r="169" spans="1:13">
      <c r="A169" s="1">
        <f>HYPERLINK("http://www.twitter.com/NathanBLawrence/status/998644680471396352", "998644680471396352")</f>
        <v/>
      </c>
      <c r="B169" s="2" t="n">
        <v>43241.80578703704</v>
      </c>
      <c r="C169" t="n">
        <v>0</v>
      </c>
      <c r="D169" t="n">
        <v>2443</v>
      </c>
      <c r="E169" t="s">
        <v>180</v>
      </c>
      <c r="F169" t="s"/>
      <c r="G169" t="s"/>
      <c r="H169" t="s"/>
      <c r="I169" t="s"/>
      <c r="J169" t="n">
        <v>-0.5266999999999999</v>
      </c>
      <c r="K169" t="n">
        <v>0.139</v>
      </c>
      <c r="L169" t="n">
        <v>0.861</v>
      </c>
      <c r="M169" t="n">
        <v>0</v>
      </c>
    </row>
    <row r="170" spans="1:13">
      <c r="A170" s="1">
        <f>HYPERLINK("http://www.twitter.com/NathanBLawrence/status/998644604927852544", "998644604927852544")</f>
        <v/>
      </c>
      <c r="B170" s="2" t="n">
        <v>43241.8055787037</v>
      </c>
      <c r="C170" t="n">
        <v>0</v>
      </c>
      <c r="D170" t="n">
        <v>1798</v>
      </c>
      <c r="E170" t="s">
        <v>181</v>
      </c>
      <c r="F170" t="s"/>
      <c r="G170" t="s"/>
      <c r="H170" t="s"/>
      <c r="I170" t="s"/>
      <c r="J170" t="n">
        <v>-0.8519</v>
      </c>
      <c r="K170" t="n">
        <v>0.392</v>
      </c>
      <c r="L170" t="n">
        <v>0.608</v>
      </c>
      <c r="M170" t="n">
        <v>0</v>
      </c>
    </row>
    <row r="171" spans="1:13">
      <c r="A171" s="1">
        <f>HYPERLINK("http://www.twitter.com/NathanBLawrence/status/998644481636294658", "998644481636294658")</f>
        <v/>
      </c>
      <c r="B171" s="2" t="n">
        <v>43241.80523148148</v>
      </c>
      <c r="C171" t="n">
        <v>0</v>
      </c>
      <c r="D171" t="n">
        <v>622</v>
      </c>
      <c r="E171" t="s">
        <v>182</v>
      </c>
      <c r="F171" t="s"/>
      <c r="G171" t="s"/>
      <c r="H171" t="s"/>
      <c r="I171" t="s"/>
      <c r="J171" t="n">
        <v>0.2023</v>
      </c>
      <c r="K171" t="n">
        <v>0</v>
      </c>
      <c r="L171" t="n">
        <v>0.927</v>
      </c>
      <c r="M171" t="n">
        <v>0.073</v>
      </c>
    </row>
    <row r="172" spans="1:13">
      <c r="A172" s="1">
        <f>HYPERLINK("http://www.twitter.com/NathanBLawrence/status/998644394549952512", "998644394549952512")</f>
        <v/>
      </c>
      <c r="B172" s="2" t="n">
        <v>43241.805</v>
      </c>
      <c r="C172" t="n">
        <v>0</v>
      </c>
      <c r="D172" t="n">
        <v>1782</v>
      </c>
      <c r="E172" t="s">
        <v>183</v>
      </c>
      <c r="F172" t="s"/>
      <c r="G172" t="s"/>
      <c r="H172" t="s"/>
      <c r="I172" t="s"/>
      <c r="J172" t="n">
        <v>-0.6705</v>
      </c>
      <c r="K172" t="n">
        <v>0.319</v>
      </c>
      <c r="L172" t="n">
        <v>0.57</v>
      </c>
      <c r="M172" t="n">
        <v>0.11</v>
      </c>
    </row>
    <row r="173" spans="1:13">
      <c r="A173" s="1">
        <f>HYPERLINK("http://www.twitter.com/NathanBLawrence/status/998644341139636224", "998644341139636224")</f>
        <v/>
      </c>
      <c r="B173" s="2" t="n">
        <v>43241.80484953704</v>
      </c>
      <c r="C173" t="n">
        <v>0</v>
      </c>
      <c r="D173" t="n">
        <v>294</v>
      </c>
      <c r="E173" t="s">
        <v>184</v>
      </c>
      <c r="F173" t="s"/>
      <c r="G173" t="s"/>
      <c r="H173" t="s"/>
      <c r="I173" t="s"/>
      <c r="J173" t="n">
        <v>-0.7269</v>
      </c>
      <c r="K173" t="n">
        <v>0.415</v>
      </c>
      <c r="L173" t="n">
        <v>0.585</v>
      </c>
      <c r="M173" t="n">
        <v>0</v>
      </c>
    </row>
    <row r="174" spans="1:13">
      <c r="A174" s="1">
        <f>HYPERLINK("http://www.twitter.com/NathanBLawrence/status/998644277981822976", "998644277981822976")</f>
        <v/>
      </c>
      <c r="B174" s="2" t="n">
        <v>43241.80467592592</v>
      </c>
      <c r="C174" t="n">
        <v>0</v>
      </c>
      <c r="D174" t="n">
        <v>1009</v>
      </c>
      <c r="E174" t="s">
        <v>185</v>
      </c>
      <c r="F174" t="s"/>
      <c r="G174" t="s"/>
      <c r="H174" t="s"/>
      <c r="I174" t="s"/>
      <c r="J174" t="n">
        <v>0.296</v>
      </c>
      <c r="K174" t="n">
        <v>0</v>
      </c>
      <c r="L174" t="n">
        <v>0.922</v>
      </c>
      <c r="M174" t="n">
        <v>0.078</v>
      </c>
    </row>
    <row r="175" spans="1:13">
      <c r="A175" s="1">
        <f>HYPERLINK("http://www.twitter.com/NathanBLawrence/status/998644199221219328", "998644199221219328")</f>
        <v/>
      </c>
      <c r="B175" s="2" t="n">
        <v>43241.80445601852</v>
      </c>
      <c r="C175" t="n">
        <v>0</v>
      </c>
      <c r="D175" t="n">
        <v>857</v>
      </c>
      <c r="E175" t="s">
        <v>186</v>
      </c>
      <c r="F175" t="s"/>
      <c r="G175" t="s"/>
      <c r="H175" t="s"/>
      <c r="I175" t="s"/>
      <c r="J175" t="n">
        <v>-0.6705</v>
      </c>
      <c r="K175" t="n">
        <v>0.216</v>
      </c>
      <c r="L175" t="n">
        <v>0.784</v>
      </c>
      <c r="M175" t="n">
        <v>0</v>
      </c>
    </row>
    <row r="176" spans="1:13">
      <c r="A176" s="1">
        <f>HYPERLINK("http://www.twitter.com/NathanBLawrence/status/998639104525983744", "998639104525983744")</f>
        <v/>
      </c>
      <c r="B176" s="2" t="n">
        <v>43241.79039351852</v>
      </c>
      <c r="C176" t="n">
        <v>0</v>
      </c>
      <c r="D176" t="n">
        <v>1515</v>
      </c>
      <c r="E176" t="s">
        <v>187</v>
      </c>
      <c r="F176">
        <f>HYPERLINK("http://pbs.twimg.com/media/Ddur-WKVwAAGaKa.jpg", "http://pbs.twimg.com/media/Ddur-WKVwAAGaKa.jpg")</f>
        <v/>
      </c>
      <c r="G176" t="s"/>
      <c r="H176" t="s"/>
      <c r="I176" t="s"/>
      <c r="J176" t="n">
        <v>0</v>
      </c>
      <c r="K176" t="n">
        <v>0</v>
      </c>
      <c r="L176" t="n">
        <v>1</v>
      </c>
      <c r="M176" t="n">
        <v>0</v>
      </c>
    </row>
    <row r="177" spans="1:13">
      <c r="A177" s="1">
        <f>HYPERLINK("http://www.twitter.com/NathanBLawrence/status/998639050561998849", "998639050561998849")</f>
        <v/>
      </c>
      <c r="B177" s="2" t="n">
        <v>43241.79025462963</v>
      </c>
      <c r="C177" t="n">
        <v>0</v>
      </c>
      <c r="D177" t="n">
        <v>353</v>
      </c>
      <c r="E177" t="s">
        <v>188</v>
      </c>
      <c r="F177" t="s"/>
      <c r="G177" t="s"/>
      <c r="H177" t="s"/>
      <c r="I177" t="s"/>
      <c r="J177" t="n">
        <v>0</v>
      </c>
      <c r="K177" t="n">
        <v>0</v>
      </c>
      <c r="L177" t="n">
        <v>1</v>
      </c>
      <c r="M177" t="n">
        <v>0</v>
      </c>
    </row>
    <row r="178" spans="1:13">
      <c r="A178" s="1">
        <f>HYPERLINK("http://www.twitter.com/NathanBLawrence/status/998638972979965952", "998638972979965952")</f>
        <v/>
      </c>
      <c r="B178" s="2" t="n">
        <v>43241.79003472222</v>
      </c>
      <c r="C178" t="n">
        <v>0</v>
      </c>
      <c r="D178" t="n">
        <v>694</v>
      </c>
      <c r="E178" t="s">
        <v>189</v>
      </c>
      <c r="F178" t="s"/>
      <c r="G178" t="s"/>
      <c r="H178" t="s"/>
      <c r="I178" t="s"/>
      <c r="J178" t="n">
        <v>0.4215</v>
      </c>
      <c r="K178" t="n">
        <v>0</v>
      </c>
      <c r="L178" t="n">
        <v>0.847</v>
      </c>
      <c r="M178" t="n">
        <v>0.153</v>
      </c>
    </row>
    <row r="179" spans="1:13">
      <c r="A179" s="1">
        <f>HYPERLINK("http://www.twitter.com/NathanBLawrence/status/998638927027232768", "998638927027232768")</f>
        <v/>
      </c>
      <c r="B179" s="2" t="n">
        <v>43241.78990740741</v>
      </c>
      <c r="C179" t="n">
        <v>0</v>
      </c>
      <c r="D179" t="n">
        <v>1966</v>
      </c>
      <c r="E179" t="s">
        <v>190</v>
      </c>
      <c r="F179">
        <f>HYPERLINK("https://video.twimg.com/amplify_video/998551805771632641/vid/1280x720/6l_Eb7ju2Rei0uyH.mp4?tag=2", "https://video.twimg.com/amplify_video/998551805771632641/vid/1280x720/6l_Eb7ju2Rei0uyH.mp4?tag=2")</f>
        <v/>
      </c>
      <c r="G179" t="s"/>
      <c r="H179" t="s"/>
      <c r="I179" t="s"/>
      <c r="J179" t="n">
        <v>-0.296</v>
      </c>
      <c r="K179" t="n">
        <v>0.099</v>
      </c>
      <c r="L179" t="n">
        <v>0.901</v>
      </c>
      <c r="M179" t="n">
        <v>0</v>
      </c>
    </row>
    <row r="180" spans="1:13">
      <c r="A180" s="1">
        <f>HYPERLINK("http://www.twitter.com/NathanBLawrence/status/998638863345115136", "998638863345115136")</f>
        <v/>
      </c>
      <c r="B180" s="2" t="n">
        <v>43241.78973379629</v>
      </c>
      <c r="C180" t="n">
        <v>0</v>
      </c>
      <c r="D180" t="n">
        <v>6317</v>
      </c>
      <c r="E180" t="s">
        <v>191</v>
      </c>
      <c r="F180" t="s"/>
      <c r="G180" t="s"/>
      <c r="H180" t="s"/>
      <c r="I180" t="s"/>
      <c r="J180" t="n">
        <v>-0.0258</v>
      </c>
      <c r="K180" t="n">
        <v>0.11</v>
      </c>
      <c r="L180" t="n">
        <v>0.784</v>
      </c>
      <c r="M180" t="n">
        <v>0.106</v>
      </c>
    </row>
    <row r="181" spans="1:13">
      <c r="A181" s="1">
        <f>HYPERLINK("http://www.twitter.com/NathanBLawrence/status/998638745350955009", "998638745350955009")</f>
        <v/>
      </c>
      <c r="B181" s="2" t="n">
        <v>43241.78940972222</v>
      </c>
      <c r="C181" t="n">
        <v>0</v>
      </c>
      <c r="D181" t="n">
        <v>916</v>
      </c>
      <c r="E181" t="s">
        <v>192</v>
      </c>
      <c r="F181">
        <f>HYPERLINK("http://pbs.twimg.com/media/DduWjUOUwAAq6qm.jpg", "http://pbs.twimg.com/media/DduWjUOUwAAq6qm.jpg")</f>
        <v/>
      </c>
      <c r="G181" t="s"/>
      <c r="H181" t="s"/>
      <c r="I181" t="s"/>
      <c r="J181" t="n">
        <v>0</v>
      </c>
      <c r="K181" t="n">
        <v>0</v>
      </c>
      <c r="L181" t="n">
        <v>1</v>
      </c>
      <c r="M181" t="n">
        <v>0</v>
      </c>
    </row>
    <row r="182" spans="1:13">
      <c r="A182" s="1">
        <f>HYPERLINK("http://www.twitter.com/NathanBLawrence/status/998638667357831168", "998638667357831168")</f>
        <v/>
      </c>
      <c r="B182" s="2" t="n">
        <v>43241.78918981482</v>
      </c>
      <c r="C182" t="n">
        <v>0</v>
      </c>
      <c r="D182" t="n">
        <v>1058</v>
      </c>
      <c r="E182" t="s">
        <v>193</v>
      </c>
      <c r="F182" t="s"/>
      <c r="G182" t="s"/>
      <c r="H182" t="s"/>
      <c r="I182" t="s"/>
      <c r="J182" t="n">
        <v>-0.6249</v>
      </c>
      <c r="K182" t="n">
        <v>0.203</v>
      </c>
      <c r="L182" t="n">
        <v>0.797</v>
      </c>
      <c r="M182" t="n">
        <v>0</v>
      </c>
    </row>
    <row r="183" spans="1:13">
      <c r="A183" s="1">
        <f>HYPERLINK("http://www.twitter.com/NathanBLawrence/status/998638497899601920", "998638497899601920")</f>
        <v/>
      </c>
      <c r="B183" s="2" t="n">
        <v>43241.78872685185</v>
      </c>
      <c r="C183" t="n">
        <v>2</v>
      </c>
      <c r="D183" t="n">
        <v>1</v>
      </c>
      <c r="E183" t="s">
        <v>194</v>
      </c>
      <c r="F183" t="s"/>
      <c r="G183" t="s"/>
      <c r="H183" t="s"/>
      <c r="I183" t="s"/>
      <c r="J183" t="n">
        <v>-0.5574</v>
      </c>
      <c r="K183" t="n">
        <v>0.231</v>
      </c>
      <c r="L183" t="n">
        <v>0.769</v>
      </c>
      <c r="M183" t="n">
        <v>0</v>
      </c>
    </row>
    <row r="184" spans="1:13">
      <c r="A184" s="1">
        <f>HYPERLINK("http://www.twitter.com/NathanBLawrence/status/998625545620525056", "998625545620525056")</f>
        <v/>
      </c>
      <c r="B184" s="2" t="n">
        <v>43241.75298611111</v>
      </c>
      <c r="C184" t="n">
        <v>0</v>
      </c>
      <c r="D184" t="n">
        <v>747</v>
      </c>
      <c r="E184" t="s">
        <v>195</v>
      </c>
      <c r="F184" t="s"/>
      <c r="G184" t="s"/>
      <c r="H184" t="s"/>
      <c r="I184" t="s"/>
      <c r="J184" t="n">
        <v>0</v>
      </c>
      <c r="K184" t="n">
        <v>0</v>
      </c>
      <c r="L184" t="n">
        <v>1</v>
      </c>
      <c r="M184" t="n">
        <v>0</v>
      </c>
    </row>
    <row r="185" spans="1:13">
      <c r="A185" s="1">
        <f>HYPERLINK("http://www.twitter.com/NathanBLawrence/status/998625485839044610", "998625485839044610")</f>
        <v/>
      </c>
      <c r="B185" s="2" t="n">
        <v>43241.75282407407</v>
      </c>
      <c r="C185" t="n">
        <v>0</v>
      </c>
      <c r="D185" t="n">
        <v>12845</v>
      </c>
      <c r="E185" t="s">
        <v>196</v>
      </c>
      <c r="F185" t="s"/>
      <c r="G185" t="s"/>
      <c r="H185" t="s"/>
      <c r="I185" t="s"/>
      <c r="J185" t="n">
        <v>0.2023</v>
      </c>
      <c r="K185" t="n">
        <v>0</v>
      </c>
      <c r="L185" t="n">
        <v>0.913</v>
      </c>
      <c r="M185" t="n">
        <v>0.08699999999999999</v>
      </c>
    </row>
    <row r="186" spans="1:13">
      <c r="A186" s="1">
        <f>HYPERLINK("http://www.twitter.com/NathanBLawrence/status/998623607755505665", "998623607755505665")</f>
        <v/>
      </c>
      <c r="B186" s="2" t="n">
        <v>43241.74763888889</v>
      </c>
      <c r="C186" t="n">
        <v>0</v>
      </c>
      <c r="D186" t="n">
        <v>667</v>
      </c>
      <c r="E186" t="s">
        <v>197</v>
      </c>
      <c r="F186" t="s"/>
      <c r="G186" t="s"/>
      <c r="H186" t="s"/>
      <c r="I186" t="s"/>
      <c r="J186" t="n">
        <v>0</v>
      </c>
      <c r="K186" t="n">
        <v>0</v>
      </c>
      <c r="L186" t="n">
        <v>1</v>
      </c>
      <c r="M186" t="n">
        <v>0</v>
      </c>
    </row>
    <row r="187" spans="1:13">
      <c r="A187" s="1">
        <f>HYPERLINK("http://www.twitter.com/NathanBLawrence/status/998623454118203393", "998623454118203393")</f>
        <v/>
      </c>
      <c r="B187" s="2" t="n">
        <v>43241.74721064815</v>
      </c>
      <c r="C187" t="n">
        <v>0</v>
      </c>
      <c r="D187" t="n">
        <v>1288</v>
      </c>
      <c r="E187" t="s">
        <v>198</v>
      </c>
      <c r="F187" t="s"/>
      <c r="G187" t="s"/>
      <c r="H187" t="s"/>
      <c r="I187" t="s"/>
      <c r="J187" t="n">
        <v>0</v>
      </c>
      <c r="K187" t="n">
        <v>0</v>
      </c>
      <c r="L187" t="n">
        <v>1</v>
      </c>
      <c r="M187" t="n">
        <v>0</v>
      </c>
    </row>
    <row r="188" spans="1:13">
      <c r="A188" s="1">
        <f>HYPERLINK("http://www.twitter.com/NathanBLawrence/status/998623313764155392", "998623313764155392")</f>
        <v/>
      </c>
      <c r="B188" s="2" t="n">
        <v>43241.7468287037</v>
      </c>
      <c r="C188" t="n">
        <v>0</v>
      </c>
      <c r="D188" t="n">
        <v>175</v>
      </c>
      <c r="E188" t="s">
        <v>199</v>
      </c>
      <c r="F188" t="s"/>
      <c r="G188" t="s"/>
      <c r="H188" t="s"/>
      <c r="I188" t="s"/>
      <c r="J188" t="n">
        <v>-0.3744</v>
      </c>
      <c r="K188" t="n">
        <v>0.1</v>
      </c>
      <c r="L188" t="n">
        <v>0.9</v>
      </c>
      <c r="M188" t="n">
        <v>0</v>
      </c>
    </row>
    <row r="189" spans="1:13">
      <c r="A189" s="1">
        <f>HYPERLINK("http://www.twitter.com/NathanBLawrence/status/998623114744483840", "998623114744483840")</f>
        <v/>
      </c>
      <c r="B189" s="2" t="n">
        <v>43241.74627314815</v>
      </c>
      <c r="C189" t="n">
        <v>0</v>
      </c>
      <c r="D189" t="n">
        <v>2746</v>
      </c>
      <c r="E189" t="s">
        <v>200</v>
      </c>
      <c r="F189" t="s"/>
      <c r="G189" t="s"/>
      <c r="H189" t="s"/>
      <c r="I189" t="s"/>
      <c r="J189" t="n">
        <v>0</v>
      </c>
      <c r="K189" t="n">
        <v>0</v>
      </c>
      <c r="L189" t="n">
        <v>1</v>
      </c>
      <c r="M189" t="n">
        <v>0</v>
      </c>
    </row>
    <row r="190" spans="1:13">
      <c r="A190" s="1">
        <f>HYPERLINK("http://www.twitter.com/NathanBLawrence/status/998617491629903873", "998617491629903873")</f>
        <v/>
      </c>
      <c r="B190" s="2" t="n">
        <v>43241.73076388889</v>
      </c>
      <c r="C190" t="n">
        <v>0</v>
      </c>
      <c r="D190" t="n">
        <v>235</v>
      </c>
      <c r="E190" t="s">
        <v>201</v>
      </c>
      <c r="F190">
        <f>HYPERLINK("http://pbs.twimg.com/media/Ddu1n53VQAA-nbO.jpg", "http://pbs.twimg.com/media/Ddu1n53VQAA-nbO.jpg")</f>
        <v/>
      </c>
      <c r="G190" t="s"/>
      <c r="H190" t="s"/>
      <c r="I190" t="s"/>
      <c r="J190" t="n">
        <v>0.4767</v>
      </c>
      <c r="K190" t="n">
        <v>0</v>
      </c>
      <c r="L190" t="n">
        <v>0.871</v>
      </c>
      <c r="M190" t="n">
        <v>0.129</v>
      </c>
    </row>
    <row r="191" spans="1:13">
      <c r="A191" s="1">
        <f>HYPERLINK("http://www.twitter.com/NathanBLawrence/status/998617394724720640", "998617394724720640")</f>
        <v/>
      </c>
      <c r="B191" s="2" t="n">
        <v>43241.73048611111</v>
      </c>
      <c r="C191" t="n">
        <v>0</v>
      </c>
      <c r="D191" t="n">
        <v>242</v>
      </c>
      <c r="E191" t="s">
        <v>202</v>
      </c>
      <c r="F191" t="s"/>
      <c r="G191" t="s"/>
      <c r="H191" t="s"/>
      <c r="I191" t="s"/>
      <c r="J191" t="n">
        <v>0.7717000000000001</v>
      </c>
      <c r="K191" t="n">
        <v>0</v>
      </c>
      <c r="L191" t="n">
        <v>0.774</v>
      </c>
      <c r="M191" t="n">
        <v>0.226</v>
      </c>
    </row>
    <row r="192" spans="1:13">
      <c r="A192" s="1">
        <f>HYPERLINK("http://www.twitter.com/NathanBLawrence/status/998617311652335616", "998617311652335616")</f>
        <v/>
      </c>
      <c r="B192" s="2" t="n">
        <v>43241.7302662037</v>
      </c>
      <c r="C192" t="n">
        <v>0</v>
      </c>
      <c r="D192" t="n">
        <v>339</v>
      </c>
      <c r="E192" t="s">
        <v>203</v>
      </c>
      <c r="F192" t="s"/>
      <c r="G192" t="s"/>
      <c r="H192" t="s"/>
      <c r="I192" t="s"/>
      <c r="J192" t="n">
        <v>0</v>
      </c>
      <c r="K192" t="n">
        <v>0</v>
      </c>
      <c r="L192" t="n">
        <v>1</v>
      </c>
      <c r="M192" t="n">
        <v>0</v>
      </c>
    </row>
    <row r="193" spans="1:13">
      <c r="A193" s="1">
        <f>HYPERLINK("http://www.twitter.com/NathanBLawrence/status/998617196086677505", "998617196086677505")</f>
        <v/>
      </c>
      <c r="B193" s="2" t="n">
        <v>43241.72994212963</v>
      </c>
      <c r="C193" t="n">
        <v>0</v>
      </c>
      <c r="D193" t="n">
        <v>1416</v>
      </c>
      <c r="E193" t="s">
        <v>204</v>
      </c>
      <c r="F193">
        <f>HYPERLINK("https://video.twimg.com/ext_tw_video/998592484367155202/pu/vid/1280x720/8nmIrMhUxX_VtoaX.mp4?tag=3", "https://video.twimg.com/ext_tw_video/998592484367155202/pu/vid/1280x720/8nmIrMhUxX_VtoaX.mp4?tag=3")</f>
        <v/>
      </c>
      <c r="G193" t="s"/>
      <c r="H193" t="s"/>
      <c r="I193" t="s"/>
      <c r="J193" t="n">
        <v>-0.9081</v>
      </c>
      <c r="K193" t="n">
        <v>0.371</v>
      </c>
      <c r="L193" t="n">
        <v>0.629</v>
      </c>
      <c r="M193" t="n">
        <v>0</v>
      </c>
    </row>
    <row r="194" spans="1:13">
      <c r="A194" s="1">
        <f>HYPERLINK("http://www.twitter.com/NathanBLawrence/status/998617165619220485", "998617165619220485")</f>
        <v/>
      </c>
      <c r="B194" s="2" t="n">
        <v>43241.72986111111</v>
      </c>
      <c r="C194" t="n">
        <v>0</v>
      </c>
      <c r="D194" t="n">
        <v>407</v>
      </c>
      <c r="E194" t="s">
        <v>205</v>
      </c>
      <c r="F194" t="s"/>
      <c r="G194" t="s"/>
      <c r="H194" t="s"/>
      <c r="I194" t="s"/>
      <c r="J194" t="n">
        <v>0.3182</v>
      </c>
      <c r="K194" t="n">
        <v>0</v>
      </c>
      <c r="L194" t="n">
        <v>0.874</v>
      </c>
      <c r="M194" t="n">
        <v>0.126</v>
      </c>
    </row>
    <row r="195" spans="1:13">
      <c r="A195" s="1">
        <f>HYPERLINK("http://www.twitter.com/NathanBLawrence/status/998616598301892608", "998616598301892608")</f>
        <v/>
      </c>
      <c r="B195" s="2" t="n">
        <v>43241.72829861111</v>
      </c>
      <c r="C195" t="n">
        <v>0</v>
      </c>
      <c r="D195" t="n">
        <v>482</v>
      </c>
      <c r="E195" t="s">
        <v>206</v>
      </c>
      <c r="F195" t="s"/>
      <c r="G195" t="s"/>
      <c r="H195" t="s"/>
      <c r="I195" t="s"/>
      <c r="J195" t="n">
        <v>0.6408</v>
      </c>
      <c r="K195" t="n">
        <v>0</v>
      </c>
      <c r="L195" t="n">
        <v>0.743</v>
      </c>
      <c r="M195" t="n">
        <v>0.257</v>
      </c>
    </row>
    <row r="196" spans="1:13">
      <c r="A196" s="1">
        <f>HYPERLINK("http://www.twitter.com/NathanBLawrence/status/998591666834493440", "998591666834493440")</f>
        <v/>
      </c>
      <c r="B196" s="2" t="n">
        <v>43241.65949074074</v>
      </c>
      <c r="C196" t="n">
        <v>0</v>
      </c>
      <c r="D196" t="n">
        <v>381</v>
      </c>
      <c r="E196" t="s">
        <v>207</v>
      </c>
      <c r="F196">
        <f>HYPERLINK("http://pbs.twimg.com/media/DduV74nVwAEACCk.jpg", "http://pbs.twimg.com/media/DduV74nVwAEACCk.jpg")</f>
        <v/>
      </c>
      <c r="G196" t="s"/>
      <c r="H196" t="s"/>
      <c r="I196" t="s"/>
      <c r="J196" t="n">
        <v>-0.3134</v>
      </c>
      <c r="K196" t="n">
        <v>0.138</v>
      </c>
      <c r="L196" t="n">
        <v>0.773</v>
      </c>
      <c r="M196" t="n">
        <v>0.089</v>
      </c>
    </row>
    <row r="197" spans="1:13">
      <c r="A197" s="1">
        <f>HYPERLINK("http://www.twitter.com/NathanBLawrence/status/998591513905979392", "998591513905979392")</f>
        <v/>
      </c>
      <c r="B197" s="2" t="n">
        <v>43241.65907407407</v>
      </c>
      <c r="C197" t="n">
        <v>0</v>
      </c>
      <c r="D197" t="n">
        <v>208</v>
      </c>
      <c r="E197" t="s">
        <v>208</v>
      </c>
      <c r="F197">
        <f>HYPERLINK("http://pbs.twimg.com/media/DdunEyOU0AAGg8t.jpg", "http://pbs.twimg.com/media/DdunEyOU0AAGg8t.jpg")</f>
        <v/>
      </c>
      <c r="G197" t="s"/>
      <c r="H197" t="s"/>
      <c r="I197" t="s"/>
      <c r="J197" t="n">
        <v>0.4926</v>
      </c>
      <c r="K197" t="n">
        <v>0</v>
      </c>
      <c r="L197" t="n">
        <v>0.556</v>
      </c>
      <c r="M197" t="n">
        <v>0.444</v>
      </c>
    </row>
    <row r="198" spans="1:13">
      <c r="A198" s="1">
        <f>HYPERLINK("http://www.twitter.com/NathanBLawrence/status/998591471988232193", "998591471988232193")</f>
        <v/>
      </c>
      <c r="B198" s="2" t="n">
        <v>43241.65895833333</v>
      </c>
      <c r="C198" t="n">
        <v>0</v>
      </c>
      <c r="D198" t="n">
        <v>3896</v>
      </c>
      <c r="E198" t="s">
        <v>209</v>
      </c>
      <c r="F198" t="s"/>
      <c r="G198" t="s"/>
      <c r="H198" t="s"/>
      <c r="I198" t="s"/>
      <c r="J198" t="n">
        <v>0</v>
      </c>
      <c r="K198" t="n">
        <v>0</v>
      </c>
      <c r="L198" t="n">
        <v>1</v>
      </c>
      <c r="M198" t="n">
        <v>0</v>
      </c>
    </row>
    <row r="199" spans="1:13">
      <c r="A199" s="1">
        <f>HYPERLINK("http://www.twitter.com/NathanBLawrence/status/998591289338675200", "998591289338675200")</f>
        <v/>
      </c>
      <c r="B199" s="2" t="n">
        <v>43241.65844907407</v>
      </c>
      <c r="C199" t="n">
        <v>0</v>
      </c>
      <c r="D199" t="n">
        <v>3920</v>
      </c>
      <c r="E199" t="s">
        <v>210</v>
      </c>
      <c r="F199" t="s"/>
      <c r="G199" t="s"/>
      <c r="H199" t="s"/>
      <c r="I199" t="s"/>
      <c r="J199" t="n">
        <v>0.0772</v>
      </c>
      <c r="K199" t="n">
        <v>0.13</v>
      </c>
      <c r="L199" t="n">
        <v>0.728</v>
      </c>
      <c r="M199" t="n">
        <v>0.142</v>
      </c>
    </row>
    <row r="200" spans="1:13">
      <c r="A200" s="1">
        <f>HYPERLINK("http://www.twitter.com/NathanBLawrence/status/998591228768731136", "998591228768731136")</f>
        <v/>
      </c>
      <c r="B200" s="2" t="n">
        <v>43241.65828703704</v>
      </c>
      <c r="C200" t="n">
        <v>0</v>
      </c>
      <c r="D200" t="n">
        <v>3110</v>
      </c>
      <c r="E200" t="s">
        <v>211</v>
      </c>
      <c r="F200" t="s"/>
      <c r="G200" t="s"/>
      <c r="H200" t="s"/>
      <c r="I200" t="s"/>
      <c r="J200" t="n">
        <v>0</v>
      </c>
      <c r="K200" t="n">
        <v>0</v>
      </c>
      <c r="L200" t="n">
        <v>1</v>
      </c>
      <c r="M200" t="n">
        <v>0</v>
      </c>
    </row>
    <row r="201" spans="1:13">
      <c r="A201" s="1">
        <f>HYPERLINK("http://www.twitter.com/NathanBLawrence/status/998590569248047104", "998590569248047104")</f>
        <v/>
      </c>
      <c r="B201" s="2" t="n">
        <v>43241.65646990741</v>
      </c>
      <c r="C201" t="n">
        <v>0</v>
      </c>
      <c r="D201" t="n">
        <v>9709</v>
      </c>
      <c r="E201" t="s">
        <v>212</v>
      </c>
      <c r="F201" t="s"/>
      <c r="G201" t="s"/>
      <c r="H201" t="s"/>
      <c r="I201" t="s"/>
      <c r="J201" t="n">
        <v>0.4019</v>
      </c>
      <c r="K201" t="n">
        <v>0</v>
      </c>
      <c r="L201" t="n">
        <v>0.886</v>
      </c>
      <c r="M201" t="n">
        <v>0.114</v>
      </c>
    </row>
    <row r="202" spans="1:13">
      <c r="A202" s="1">
        <f>HYPERLINK("http://www.twitter.com/NathanBLawrence/status/998590404952866816", "998590404952866816")</f>
        <v/>
      </c>
      <c r="B202" s="2" t="n">
        <v>43241.65601851852</v>
      </c>
      <c r="C202" t="n">
        <v>0</v>
      </c>
      <c r="D202" t="n">
        <v>7030</v>
      </c>
      <c r="E202" t="s">
        <v>213</v>
      </c>
      <c r="F202" t="s"/>
      <c r="G202" t="s"/>
      <c r="H202" t="s"/>
      <c r="I202" t="s"/>
      <c r="J202" t="n">
        <v>0.0772</v>
      </c>
      <c r="K202" t="n">
        <v>0</v>
      </c>
      <c r="L202" t="n">
        <v>0.944</v>
      </c>
      <c r="M202" t="n">
        <v>0.056</v>
      </c>
    </row>
    <row r="203" spans="1:13">
      <c r="A203" s="1">
        <f>HYPERLINK("http://www.twitter.com/NathanBLawrence/status/998590285180354561", "998590285180354561")</f>
        <v/>
      </c>
      <c r="B203" s="2" t="n">
        <v>43241.65568287037</v>
      </c>
      <c r="C203" t="n">
        <v>0</v>
      </c>
      <c r="D203" t="n">
        <v>8</v>
      </c>
      <c r="E203" t="s">
        <v>214</v>
      </c>
      <c r="F203" t="s"/>
      <c r="G203" t="s"/>
      <c r="H203" t="s"/>
      <c r="I203" t="s"/>
      <c r="J203" t="n">
        <v>0</v>
      </c>
      <c r="K203" t="n">
        <v>0</v>
      </c>
      <c r="L203" t="n">
        <v>1</v>
      </c>
      <c r="M203" t="n">
        <v>0</v>
      </c>
    </row>
    <row r="204" spans="1:13">
      <c r="A204" s="1">
        <f>HYPERLINK("http://www.twitter.com/NathanBLawrence/status/998590029831143424", "998590029831143424")</f>
        <v/>
      </c>
      <c r="B204" s="2" t="n">
        <v>43241.65497685185</v>
      </c>
      <c r="C204" t="n">
        <v>10</v>
      </c>
      <c r="D204" t="n">
        <v>8</v>
      </c>
      <c r="E204" t="s">
        <v>215</v>
      </c>
      <c r="F204" t="s"/>
      <c r="G204" t="s"/>
      <c r="H204" t="s"/>
      <c r="I204" t="s"/>
      <c r="J204" t="n">
        <v>0</v>
      </c>
      <c r="K204" t="n">
        <v>0</v>
      </c>
      <c r="L204" t="n">
        <v>1</v>
      </c>
      <c r="M204" t="n">
        <v>0</v>
      </c>
    </row>
    <row r="205" spans="1:13">
      <c r="A205" s="1">
        <f>HYPERLINK("http://www.twitter.com/NathanBLawrence/status/998588255732875266", "998588255732875266")</f>
        <v/>
      </c>
      <c r="B205" s="2" t="n">
        <v>43241.65008101852</v>
      </c>
      <c r="C205" t="n">
        <v>0</v>
      </c>
      <c r="D205" t="n">
        <v>4648</v>
      </c>
      <c r="E205" t="s">
        <v>216</v>
      </c>
      <c r="F205" t="s"/>
      <c r="G205" t="s"/>
      <c r="H205" t="s"/>
      <c r="I205" t="s"/>
      <c r="J205" t="n">
        <v>0.6369</v>
      </c>
      <c r="K205" t="n">
        <v>0</v>
      </c>
      <c r="L205" t="n">
        <v>0.766</v>
      </c>
      <c r="M205" t="n">
        <v>0.234</v>
      </c>
    </row>
    <row r="206" spans="1:13">
      <c r="A206" s="1">
        <f>HYPERLINK("http://www.twitter.com/NathanBLawrence/status/998588170848452608", "998588170848452608")</f>
        <v/>
      </c>
      <c r="B206" s="2" t="n">
        <v>43241.64984953704</v>
      </c>
      <c r="C206" t="n">
        <v>0</v>
      </c>
      <c r="D206" t="n">
        <v>2387</v>
      </c>
      <c r="E206" t="s">
        <v>217</v>
      </c>
      <c r="F206" t="s"/>
      <c r="G206" t="s"/>
      <c r="H206" t="s"/>
      <c r="I206" t="s"/>
      <c r="J206" t="n">
        <v>0.0772</v>
      </c>
      <c r="K206" t="n">
        <v>0.095</v>
      </c>
      <c r="L206" t="n">
        <v>0.798</v>
      </c>
      <c r="M206" t="n">
        <v>0.106</v>
      </c>
    </row>
    <row r="207" spans="1:13">
      <c r="A207" s="1">
        <f>HYPERLINK("http://www.twitter.com/NathanBLawrence/status/998588087314694144", "998588087314694144")</f>
        <v/>
      </c>
      <c r="B207" s="2" t="n">
        <v>43241.64961805556</v>
      </c>
      <c r="C207" t="n">
        <v>0</v>
      </c>
      <c r="D207" t="n">
        <v>12310</v>
      </c>
      <c r="E207" t="s">
        <v>218</v>
      </c>
      <c r="F207">
        <f>HYPERLINK("https://video.twimg.com/ext_tw_video/998561804002340864/pu/vid/240x240/1VkZj7ggpLUdOejJ.mp4?tag=3", "https://video.twimg.com/ext_tw_video/998561804002340864/pu/vid/240x240/1VkZj7ggpLUdOejJ.mp4?tag=3")</f>
        <v/>
      </c>
      <c r="G207" t="s"/>
      <c r="H207" t="s"/>
      <c r="I207" t="s"/>
      <c r="J207" t="n">
        <v>-0.9062</v>
      </c>
      <c r="K207" t="n">
        <v>0.373</v>
      </c>
      <c r="L207" t="n">
        <v>0.627</v>
      </c>
      <c r="M207" t="n">
        <v>0</v>
      </c>
    </row>
    <row r="208" spans="1:13">
      <c r="A208" s="1">
        <f>HYPERLINK("http://www.twitter.com/NathanBLawrence/status/998587950974693376", "998587950974693376")</f>
        <v/>
      </c>
      <c r="B208" s="2" t="n">
        <v>43241.64924768519</v>
      </c>
      <c r="C208" t="n">
        <v>0</v>
      </c>
      <c r="D208" t="n">
        <v>6208</v>
      </c>
      <c r="E208" t="s">
        <v>219</v>
      </c>
      <c r="F208" t="s"/>
      <c r="G208" t="s"/>
      <c r="H208" t="s"/>
      <c r="I208" t="s"/>
      <c r="J208" t="n">
        <v>-0.6697</v>
      </c>
      <c r="K208" t="n">
        <v>0.215</v>
      </c>
      <c r="L208" t="n">
        <v>0.785</v>
      </c>
      <c r="M208" t="n">
        <v>0</v>
      </c>
    </row>
    <row r="209" spans="1:13">
      <c r="A209" s="1">
        <f>HYPERLINK("http://www.twitter.com/NathanBLawrence/status/998587849090908165", "998587849090908165")</f>
        <v/>
      </c>
      <c r="B209" s="2" t="n">
        <v>43241.64895833333</v>
      </c>
      <c r="C209" t="n">
        <v>0</v>
      </c>
      <c r="D209" t="n">
        <v>2654</v>
      </c>
      <c r="E209" t="s">
        <v>220</v>
      </c>
      <c r="F209" t="s"/>
      <c r="G209" t="s"/>
      <c r="H209" t="s"/>
      <c r="I209" t="s"/>
      <c r="J209" t="n">
        <v>-0.0276</v>
      </c>
      <c r="K209" t="n">
        <v>0.11</v>
      </c>
      <c r="L209" t="n">
        <v>0.785</v>
      </c>
      <c r="M209" t="n">
        <v>0.106</v>
      </c>
    </row>
    <row r="210" spans="1:13">
      <c r="A210" s="1">
        <f>HYPERLINK("http://www.twitter.com/NathanBLawrence/status/998587762201645056", "998587762201645056")</f>
        <v/>
      </c>
      <c r="B210" s="2" t="n">
        <v>43241.64872685185</v>
      </c>
      <c r="C210" t="n">
        <v>0</v>
      </c>
      <c r="D210" t="n">
        <v>4556</v>
      </c>
      <c r="E210" t="s">
        <v>221</v>
      </c>
      <c r="F210" t="s"/>
      <c r="G210" t="s"/>
      <c r="H210" t="s"/>
      <c r="I210" t="s"/>
      <c r="J210" t="n">
        <v>-0.5423</v>
      </c>
      <c r="K210" t="n">
        <v>0.241</v>
      </c>
      <c r="L210" t="n">
        <v>0.651</v>
      </c>
      <c r="M210" t="n">
        <v>0.107</v>
      </c>
    </row>
    <row r="211" spans="1:13">
      <c r="A211" s="1">
        <f>HYPERLINK("http://www.twitter.com/NathanBLawrence/status/998587719344254976", "998587719344254976")</f>
        <v/>
      </c>
      <c r="B211" s="2" t="n">
        <v>43241.64859953704</v>
      </c>
      <c r="C211" t="n">
        <v>0</v>
      </c>
      <c r="D211" t="n">
        <v>4612</v>
      </c>
      <c r="E211" t="s">
        <v>222</v>
      </c>
      <c r="F211" t="s"/>
      <c r="G211" t="s"/>
      <c r="H211" t="s"/>
      <c r="I211" t="s"/>
      <c r="J211" t="n">
        <v>0.2006</v>
      </c>
      <c r="K211" t="n">
        <v>0.113</v>
      </c>
      <c r="L211" t="n">
        <v>0.742</v>
      </c>
      <c r="M211" t="n">
        <v>0.144</v>
      </c>
    </row>
    <row r="212" spans="1:13">
      <c r="A212" s="1">
        <f>HYPERLINK("http://www.twitter.com/NathanBLawrence/status/998587184172027904", "998587184172027904")</f>
        <v/>
      </c>
      <c r="B212" s="2" t="n">
        <v>43241.64712962963</v>
      </c>
      <c r="C212" t="n">
        <v>0</v>
      </c>
      <c r="D212" t="n">
        <v>18465</v>
      </c>
      <c r="E212" t="s">
        <v>223</v>
      </c>
      <c r="F212" t="s"/>
      <c r="G212" t="s"/>
      <c r="H212" t="s"/>
      <c r="I212" t="s"/>
      <c r="J212" t="n">
        <v>0.6249</v>
      </c>
      <c r="K212" t="n">
        <v>0</v>
      </c>
      <c r="L212" t="n">
        <v>0.837</v>
      </c>
      <c r="M212" t="n">
        <v>0.163</v>
      </c>
    </row>
    <row r="213" spans="1:13">
      <c r="A213" s="1">
        <f>HYPERLINK("http://www.twitter.com/NathanBLawrence/status/998587109240799232", "998587109240799232")</f>
        <v/>
      </c>
      <c r="B213" s="2" t="n">
        <v>43241.6469212963</v>
      </c>
      <c r="C213" t="n">
        <v>0</v>
      </c>
      <c r="D213" t="n">
        <v>24543</v>
      </c>
      <c r="E213" t="s">
        <v>224</v>
      </c>
      <c r="F213" t="s"/>
      <c r="G213" t="s"/>
      <c r="H213" t="s"/>
      <c r="I213" t="s"/>
      <c r="J213" t="n">
        <v>0.54</v>
      </c>
      <c r="K213" t="n">
        <v>0</v>
      </c>
      <c r="L213" t="n">
        <v>0.821</v>
      </c>
      <c r="M213" t="n">
        <v>0.179</v>
      </c>
    </row>
    <row r="214" spans="1:13">
      <c r="A214" s="1">
        <f>HYPERLINK("http://www.twitter.com/NathanBLawrence/status/998587033978195969", "998587033978195969")</f>
        <v/>
      </c>
      <c r="B214" s="2" t="n">
        <v>43241.64671296296</v>
      </c>
      <c r="C214" t="n">
        <v>0</v>
      </c>
      <c r="D214" t="n">
        <v>21113</v>
      </c>
      <c r="E214" t="s">
        <v>225</v>
      </c>
      <c r="F214" t="s"/>
      <c r="G214" t="s"/>
      <c r="H214" t="s"/>
      <c r="I214" t="s"/>
      <c r="J214" t="n">
        <v>0</v>
      </c>
      <c r="K214" t="n">
        <v>0</v>
      </c>
      <c r="L214" t="n">
        <v>1</v>
      </c>
      <c r="M214" t="n">
        <v>0</v>
      </c>
    </row>
    <row r="215" spans="1:13">
      <c r="A215" s="1">
        <f>HYPERLINK("http://www.twitter.com/NathanBLawrence/status/998587018773909504", "998587018773909504")</f>
        <v/>
      </c>
      <c r="B215" s="2" t="n">
        <v>43241.64666666667</v>
      </c>
      <c r="C215" t="n">
        <v>0</v>
      </c>
      <c r="D215" t="n">
        <v>19383</v>
      </c>
      <c r="E215" t="s">
        <v>226</v>
      </c>
      <c r="F215" t="s"/>
      <c r="G215" t="s"/>
      <c r="H215" t="s"/>
      <c r="I215" t="s"/>
      <c r="J215" t="n">
        <v>0</v>
      </c>
      <c r="K215" t="n">
        <v>0</v>
      </c>
      <c r="L215" t="n">
        <v>1</v>
      </c>
      <c r="M215" t="n">
        <v>0</v>
      </c>
    </row>
    <row r="216" spans="1:13">
      <c r="A216" s="1">
        <f>HYPERLINK("http://www.twitter.com/NathanBLawrence/status/998587001547907072", "998587001547907072")</f>
        <v/>
      </c>
      <c r="B216" s="2" t="n">
        <v>43241.64662037037</v>
      </c>
      <c r="C216" t="n">
        <v>0</v>
      </c>
      <c r="D216" t="n">
        <v>31114</v>
      </c>
      <c r="E216" t="s">
        <v>227</v>
      </c>
      <c r="F216" t="s"/>
      <c r="G216" t="s"/>
      <c r="H216" t="s"/>
      <c r="I216" t="s"/>
      <c r="J216" t="n">
        <v>-0.8979</v>
      </c>
      <c r="K216" t="n">
        <v>0.412</v>
      </c>
      <c r="L216" t="n">
        <v>0.588</v>
      </c>
      <c r="M216" t="n">
        <v>0</v>
      </c>
    </row>
    <row r="217" spans="1:13">
      <c r="A217" s="1">
        <f>HYPERLINK("http://www.twitter.com/NathanBLawrence/status/998586521539117059", "998586521539117059")</f>
        <v/>
      </c>
      <c r="B217" s="2" t="n">
        <v>43241.64530092593</v>
      </c>
      <c r="C217" t="n">
        <v>0</v>
      </c>
      <c r="D217" t="n">
        <v>13028</v>
      </c>
      <c r="E217" t="s">
        <v>228</v>
      </c>
      <c r="F217" t="s"/>
      <c r="G217" t="s"/>
      <c r="H217" t="s"/>
      <c r="I217" t="s"/>
      <c r="J217" t="n">
        <v>0.5106000000000001</v>
      </c>
      <c r="K217" t="n">
        <v>0</v>
      </c>
      <c r="L217" t="n">
        <v>0.879</v>
      </c>
      <c r="M217" t="n">
        <v>0.121</v>
      </c>
    </row>
    <row r="218" spans="1:13">
      <c r="A218" s="1">
        <f>HYPERLINK("http://www.twitter.com/NathanBLawrence/status/998586279531970562", "998586279531970562")</f>
        <v/>
      </c>
      <c r="B218" s="2" t="n">
        <v>43241.64462962963</v>
      </c>
      <c r="C218" t="n">
        <v>0</v>
      </c>
      <c r="D218" t="n">
        <v>10985</v>
      </c>
      <c r="E218" t="s">
        <v>229</v>
      </c>
      <c r="F218" t="s"/>
      <c r="G218" t="s"/>
      <c r="H218" t="s"/>
      <c r="I218" t="s"/>
      <c r="J218" t="n">
        <v>0</v>
      </c>
      <c r="K218" t="n">
        <v>0</v>
      </c>
      <c r="L218" t="n">
        <v>1</v>
      </c>
      <c r="M218" t="n">
        <v>0</v>
      </c>
    </row>
    <row r="219" spans="1:13">
      <c r="A219" s="1">
        <f>HYPERLINK("http://www.twitter.com/NathanBLawrence/status/998586238599708672", "998586238599708672")</f>
        <v/>
      </c>
      <c r="B219" s="2" t="n">
        <v>43241.64451388889</v>
      </c>
      <c r="C219" t="n">
        <v>0</v>
      </c>
      <c r="D219" t="n">
        <v>16259</v>
      </c>
      <c r="E219" t="s">
        <v>230</v>
      </c>
      <c r="F219" t="s"/>
      <c r="G219" t="s"/>
      <c r="H219" t="s"/>
      <c r="I219" t="s"/>
      <c r="J219" t="n">
        <v>0.743</v>
      </c>
      <c r="K219" t="n">
        <v>0</v>
      </c>
      <c r="L219" t="n">
        <v>0.751</v>
      </c>
      <c r="M219" t="n">
        <v>0.249</v>
      </c>
    </row>
    <row r="220" spans="1:13">
      <c r="A220" s="1">
        <f>HYPERLINK("http://www.twitter.com/NathanBLawrence/status/998586178520596480", "998586178520596480")</f>
        <v/>
      </c>
      <c r="B220" s="2" t="n">
        <v>43241.64435185185</v>
      </c>
      <c r="C220" t="n">
        <v>0</v>
      </c>
      <c r="D220" t="n">
        <v>16149</v>
      </c>
      <c r="E220" t="s">
        <v>231</v>
      </c>
      <c r="F220" t="s"/>
      <c r="G220" t="s"/>
      <c r="H220" t="s"/>
      <c r="I220" t="s"/>
      <c r="J220" t="n">
        <v>0</v>
      </c>
      <c r="K220" t="n">
        <v>0</v>
      </c>
      <c r="L220" t="n">
        <v>1</v>
      </c>
      <c r="M220" t="n">
        <v>0</v>
      </c>
    </row>
    <row r="221" spans="1:13">
      <c r="A221" s="1">
        <f>HYPERLINK("http://www.twitter.com/NathanBLawrence/status/998439529639006208", "998439529639006208")</f>
        <v/>
      </c>
      <c r="B221" s="2" t="n">
        <v>43241.23967592593</v>
      </c>
      <c r="C221" t="n">
        <v>0</v>
      </c>
      <c r="D221" t="n">
        <v>10467</v>
      </c>
      <c r="E221" t="s">
        <v>232</v>
      </c>
      <c r="F221" t="s"/>
      <c r="G221" t="s"/>
      <c r="H221" t="s"/>
      <c r="I221" t="s"/>
      <c r="J221" t="n">
        <v>-0.1531</v>
      </c>
      <c r="K221" t="n">
        <v>0.143</v>
      </c>
      <c r="L221" t="n">
        <v>0.739</v>
      </c>
      <c r="M221" t="n">
        <v>0.117</v>
      </c>
    </row>
    <row r="222" spans="1:13">
      <c r="A222" s="1">
        <f>HYPERLINK("http://www.twitter.com/NathanBLawrence/status/998433192817430528", "998433192817430528")</f>
        <v/>
      </c>
      <c r="B222" s="2" t="n">
        <v>43241.2221875</v>
      </c>
      <c r="C222" t="n">
        <v>0</v>
      </c>
      <c r="D222" t="n">
        <v>943</v>
      </c>
      <c r="E222" t="s">
        <v>233</v>
      </c>
      <c r="F222" t="s"/>
      <c r="G222" t="s"/>
      <c r="H222" t="s"/>
      <c r="I222" t="s"/>
      <c r="J222" t="n">
        <v>0</v>
      </c>
      <c r="K222" t="n">
        <v>0</v>
      </c>
      <c r="L222" t="n">
        <v>1</v>
      </c>
      <c r="M222" t="n">
        <v>0</v>
      </c>
    </row>
    <row r="223" spans="1:13">
      <c r="A223" s="1">
        <f>HYPERLINK("http://www.twitter.com/NathanBLawrence/status/998433135137316867", "998433135137316867")</f>
        <v/>
      </c>
      <c r="B223" s="2" t="n">
        <v>43241.22203703703</v>
      </c>
      <c r="C223" t="n">
        <v>0</v>
      </c>
      <c r="D223" t="n">
        <v>916</v>
      </c>
      <c r="E223" t="s">
        <v>234</v>
      </c>
      <c r="F223" t="s"/>
      <c r="G223" t="s"/>
      <c r="H223" t="s"/>
      <c r="I223" t="s"/>
      <c r="J223" t="n">
        <v>-0.2183</v>
      </c>
      <c r="K223" t="n">
        <v>0.172</v>
      </c>
      <c r="L223" t="n">
        <v>0.828</v>
      </c>
      <c r="M223" t="n">
        <v>0</v>
      </c>
    </row>
    <row r="224" spans="1:13">
      <c r="A224" s="1">
        <f>HYPERLINK("http://www.twitter.com/NathanBLawrence/status/998433093211119616", "998433093211119616")</f>
        <v/>
      </c>
      <c r="B224" s="2" t="n">
        <v>43241.2219212963</v>
      </c>
      <c r="C224" t="n">
        <v>0</v>
      </c>
      <c r="D224" t="n">
        <v>2</v>
      </c>
      <c r="E224" t="s">
        <v>235</v>
      </c>
      <c r="F224" t="s"/>
      <c r="G224" t="s"/>
      <c r="H224" t="s"/>
      <c r="I224" t="s"/>
      <c r="J224" t="n">
        <v>-0.1779</v>
      </c>
      <c r="K224" t="n">
        <v>0.094</v>
      </c>
      <c r="L224" t="n">
        <v>0.84</v>
      </c>
      <c r="M224" t="n">
        <v>0.066</v>
      </c>
    </row>
    <row r="225" spans="1:13">
      <c r="A225" s="1">
        <f>HYPERLINK("http://www.twitter.com/NathanBLawrence/status/998432878408028165", "998432878408028165")</f>
        <v/>
      </c>
      <c r="B225" s="2" t="n">
        <v>43241.22131944444</v>
      </c>
      <c r="C225" t="n">
        <v>0</v>
      </c>
      <c r="D225" t="n">
        <v>2655</v>
      </c>
      <c r="E225" t="s">
        <v>236</v>
      </c>
      <c r="F225" t="s"/>
      <c r="G225" t="s"/>
      <c r="H225" t="s"/>
      <c r="I225" t="s"/>
      <c r="J225" t="n">
        <v>0.3818</v>
      </c>
      <c r="K225" t="n">
        <v>0</v>
      </c>
      <c r="L225" t="n">
        <v>0.89</v>
      </c>
      <c r="M225" t="n">
        <v>0.11</v>
      </c>
    </row>
    <row r="226" spans="1:13">
      <c r="A226" s="1">
        <f>HYPERLINK("http://www.twitter.com/NathanBLawrence/status/998432727497101312", "998432727497101312")</f>
        <v/>
      </c>
      <c r="B226" s="2" t="n">
        <v>43241.22090277778</v>
      </c>
      <c r="C226" t="n">
        <v>0</v>
      </c>
      <c r="D226" t="n">
        <v>3</v>
      </c>
      <c r="E226" t="s">
        <v>237</v>
      </c>
      <c r="F226" t="s"/>
      <c r="G226" t="s"/>
      <c r="H226" t="s"/>
      <c r="I226" t="s"/>
      <c r="J226" t="n">
        <v>-0.7717000000000001</v>
      </c>
      <c r="K226" t="n">
        <v>0.283</v>
      </c>
      <c r="L226" t="n">
        <v>0.717</v>
      </c>
      <c r="M226" t="n">
        <v>0</v>
      </c>
    </row>
    <row r="227" spans="1:13">
      <c r="A227" s="1">
        <f>HYPERLINK("http://www.twitter.com/NathanBLawrence/status/998432584236445697", "998432584236445697")</f>
        <v/>
      </c>
      <c r="B227" s="2" t="n">
        <v>43241.22050925926</v>
      </c>
      <c r="C227" t="n">
        <v>0</v>
      </c>
      <c r="D227" t="n">
        <v>3</v>
      </c>
      <c r="E227" t="s">
        <v>238</v>
      </c>
      <c r="F227">
        <f>HYPERLINK("http://pbs.twimg.com/media/DdsRdhnV0AAziuH.jpg", "http://pbs.twimg.com/media/DdsRdhnV0AAziuH.jpg")</f>
        <v/>
      </c>
      <c r="G227" t="s"/>
      <c r="H227" t="s"/>
      <c r="I227" t="s"/>
      <c r="J227" t="n">
        <v>-0.872</v>
      </c>
      <c r="K227" t="n">
        <v>0.301</v>
      </c>
      <c r="L227" t="n">
        <v>0.699</v>
      </c>
      <c r="M227" t="n">
        <v>0</v>
      </c>
    </row>
    <row r="228" spans="1:13">
      <c r="A228" s="1">
        <f>HYPERLINK("http://www.twitter.com/NathanBLawrence/status/998432356196409344", "998432356196409344")</f>
        <v/>
      </c>
      <c r="B228" s="2" t="n">
        <v>43241.21988425926</v>
      </c>
      <c r="C228" t="n">
        <v>0</v>
      </c>
      <c r="D228" t="n">
        <v>8</v>
      </c>
      <c r="E228" t="s">
        <v>239</v>
      </c>
      <c r="F228" t="s"/>
      <c r="G228" t="s"/>
      <c r="H228" t="s"/>
      <c r="I228" t="s"/>
      <c r="J228" t="n">
        <v>0.4215</v>
      </c>
      <c r="K228" t="n">
        <v>0</v>
      </c>
      <c r="L228" t="n">
        <v>0.896</v>
      </c>
      <c r="M228" t="n">
        <v>0.104</v>
      </c>
    </row>
    <row r="229" spans="1:13">
      <c r="A229" s="1">
        <f>HYPERLINK("http://www.twitter.com/NathanBLawrence/status/998432001400168455", "998432001400168455")</f>
        <v/>
      </c>
      <c r="B229" s="2" t="n">
        <v>43241.21890046296</v>
      </c>
      <c r="C229" t="n">
        <v>0</v>
      </c>
      <c r="D229" t="n">
        <v>345</v>
      </c>
      <c r="E229" t="s">
        <v>240</v>
      </c>
      <c r="F229" t="s"/>
      <c r="G229" t="s"/>
      <c r="H229" t="s"/>
      <c r="I229" t="s"/>
      <c r="J229" t="n">
        <v>0</v>
      </c>
      <c r="K229" t="n">
        <v>0</v>
      </c>
      <c r="L229" t="n">
        <v>1</v>
      </c>
      <c r="M229" t="n">
        <v>0</v>
      </c>
    </row>
    <row r="230" spans="1:13">
      <c r="A230" s="1">
        <f>HYPERLINK("http://www.twitter.com/NathanBLawrence/status/998431933293002752", "998431933293002752")</f>
        <v/>
      </c>
      <c r="B230" s="2" t="n">
        <v>43241.21871527778</v>
      </c>
      <c r="C230" t="n">
        <v>0</v>
      </c>
      <c r="D230" t="n">
        <v>3636</v>
      </c>
      <c r="E230" t="s">
        <v>241</v>
      </c>
      <c r="F230" t="s"/>
      <c r="G230" t="s"/>
      <c r="H230" t="s"/>
      <c r="I230" t="s"/>
      <c r="J230" t="n">
        <v>-0.8555</v>
      </c>
      <c r="K230" t="n">
        <v>0.356</v>
      </c>
      <c r="L230" t="n">
        <v>0.644</v>
      </c>
      <c r="M230" t="n">
        <v>0</v>
      </c>
    </row>
    <row r="231" spans="1:13">
      <c r="A231" s="1">
        <f>HYPERLINK("http://www.twitter.com/NathanBLawrence/status/998431864435150848", "998431864435150848")</f>
        <v/>
      </c>
      <c r="B231" s="2" t="n">
        <v>43241.21853009259</v>
      </c>
      <c r="C231" t="n">
        <v>0</v>
      </c>
      <c r="D231" t="n">
        <v>1689</v>
      </c>
      <c r="E231" t="s">
        <v>242</v>
      </c>
      <c r="F231" t="s"/>
      <c r="G231" t="s"/>
      <c r="H231" t="s"/>
      <c r="I231" t="s"/>
      <c r="J231" t="n">
        <v>0.516</v>
      </c>
      <c r="K231" t="n">
        <v>0</v>
      </c>
      <c r="L231" t="n">
        <v>0.857</v>
      </c>
      <c r="M231" t="n">
        <v>0.143</v>
      </c>
    </row>
    <row r="232" spans="1:13">
      <c r="A232" s="1">
        <f>HYPERLINK("http://www.twitter.com/NathanBLawrence/status/998431606485504000", "998431606485504000")</f>
        <v/>
      </c>
      <c r="B232" s="2" t="n">
        <v>43241.2178125</v>
      </c>
      <c r="C232" t="n">
        <v>0</v>
      </c>
      <c r="D232" t="n">
        <v>5</v>
      </c>
      <c r="E232" t="s">
        <v>243</v>
      </c>
      <c r="F232" t="s"/>
      <c r="G232" t="s"/>
      <c r="H232" t="s"/>
      <c r="I232" t="s"/>
      <c r="J232" t="n">
        <v>-0.3016</v>
      </c>
      <c r="K232" t="n">
        <v>0.156</v>
      </c>
      <c r="L232" t="n">
        <v>0.728</v>
      </c>
      <c r="M232" t="n">
        <v>0.116</v>
      </c>
    </row>
    <row r="233" spans="1:13">
      <c r="A233" s="1">
        <f>HYPERLINK("http://www.twitter.com/NathanBLawrence/status/998428856749981697", "998428856749981697")</f>
        <v/>
      </c>
      <c r="B233" s="2" t="n">
        <v>43241.21023148148</v>
      </c>
      <c r="C233" t="n">
        <v>0</v>
      </c>
      <c r="D233" t="n">
        <v>9</v>
      </c>
      <c r="E233" t="s">
        <v>244</v>
      </c>
      <c r="F233">
        <f>HYPERLINK("http://pbs.twimg.com/media/DdqQ52GUwAAh-K0.jpg", "http://pbs.twimg.com/media/DdqQ52GUwAAh-K0.jpg")</f>
        <v/>
      </c>
      <c r="G233" t="s"/>
      <c r="H233" t="s"/>
      <c r="I233" t="s"/>
      <c r="J233" t="n">
        <v>-0.4574</v>
      </c>
      <c r="K233" t="n">
        <v>0.13</v>
      </c>
      <c r="L233" t="n">
        <v>0.87</v>
      </c>
      <c r="M233" t="n">
        <v>0</v>
      </c>
    </row>
    <row r="234" spans="1:13">
      <c r="A234" s="1">
        <f>HYPERLINK("http://www.twitter.com/NathanBLawrence/status/998428801443946496", "998428801443946496")</f>
        <v/>
      </c>
      <c r="B234" s="2" t="n">
        <v>43241.21006944445</v>
      </c>
      <c r="C234" t="n">
        <v>0</v>
      </c>
      <c r="D234" t="n">
        <v>8</v>
      </c>
      <c r="E234" t="s">
        <v>245</v>
      </c>
      <c r="F234" t="s"/>
      <c r="G234" t="s"/>
      <c r="H234" t="s"/>
      <c r="I234" t="s"/>
      <c r="J234" t="n">
        <v>-0.7579</v>
      </c>
      <c r="K234" t="n">
        <v>0.319</v>
      </c>
      <c r="L234" t="n">
        <v>0.681</v>
      </c>
      <c r="M234" t="n">
        <v>0</v>
      </c>
    </row>
    <row r="235" spans="1:13">
      <c r="A235" s="1">
        <f>HYPERLINK("http://www.twitter.com/NathanBLawrence/status/998428753008115712", "998428753008115712")</f>
        <v/>
      </c>
      <c r="B235" s="2" t="n">
        <v>43241.20994212963</v>
      </c>
      <c r="C235" t="n">
        <v>0</v>
      </c>
      <c r="D235" t="n">
        <v>2</v>
      </c>
      <c r="E235" t="s">
        <v>246</v>
      </c>
      <c r="F235" t="s"/>
      <c r="G235" t="s"/>
      <c r="H235" t="s"/>
      <c r="I235" t="s"/>
      <c r="J235" t="n">
        <v>-0.7351</v>
      </c>
      <c r="K235" t="n">
        <v>0.256</v>
      </c>
      <c r="L235" t="n">
        <v>0.744</v>
      </c>
      <c r="M235" t="n">
        <v>0</v>
      </c>
    </row>
    <row r="236" spans="1:13">
      <c r="A236" s="1">
        <f>HYPERLINK("http://www.twitter.com/NathanBLawrence/status/998428502490730496", "998428502490730496")</f>
        <v/>
      </c>
      <c r="B236" s="2" t="n">
        <v>43241.20924768518</v>
      </c>
      <c r="C236" t="n">
        <v>5</v>
      </c>
      <c r="D236" t="n">
        <v>2</v>
      </c>
      <c r="E236" t="s">
        <v>247</v>
      </c>
      <c r="F236" t="s"/>
      <c r="G236" t="s"/>
      <c r="H236" t="s"/>
      <c r="I236" t="s"/>
      <c r="J236" t="n">
        <v>-0.8126</v>
      </c>
      <c r="K236" t="n">
        <v>0.175</v>
      </c>
      <c r="L236" t="n">
        <v>0.825</v>
      </c>
      <c r="M236" t="n">
        <v>0</v>
      </c>
    </row>
    <row r="237" spans="1:13">
      <c r="A237" s="1">
        <f>HYPERLINK("http://www.twitter.com/NathanBLawrence/status/998427325581570049", "998427325581570049")</f>
        <v/>
      </c>
      <c r="B237" s="2" t="n">
        <v>43241.20599537037</v>
      </c>
      <c r="C237" t="n">
        <v>0</v>
      </c>
      <c r="D237" t="n">
        <v>576</v>
      </c>
      <c r="E237" t="s">
        <v>248</v>
      </c>
      <c r="F237" t="s"/>
      <c r="G237" t="s"/>
      <c r="H237" t="s"/>
      <c r="I237" t="s"/>
      <c r="J237" t="n">
        <v>0</v>
      </c>
      <c r="K237" t="n">
        <v>0</v>
      </c>
      <c r="L237" t="n">
        <v>1</v>
      </c>
      <c r="M237" t="n">
        <v>0</v>
      </c>
    </row>
    <row r="238" spans="1:13">
      <c r="A238" s="1">
        <f>HYPERLINK("http://www.twitter.com/NathanBLawrence/status/998427255712841728", "998427255712841728")</f>
        <v/>
      </c>
      <c r="B238" s="2" t="n">
        <v>43241.20581018519</v>
      </c>
      <c r="C238" t="n">
        <v>0</v>
      </c>
      <c r="D238" t="n">
        <v>1006</v>
      </c>
      <c r="E238" t="s">
        <v>249</v>
      </c>
      <c r="F238" t="s"/>
      <c r="G238" t="s"/>
      <c r="H238" t="s"/>
      <c r="I238" t="s"/>
      <c r="J238" t="n">
        <v>0</v>
      </c>
      <c r="K238" t="n">
        <v>0</v>
      </c>
      <c r="L238" t="n">
        <v>1</v>
      </c>
      <c r="M238" t="n">
        <v>0</v>
      </c>
    </row>
    <row r="239" spans="1:13">
      <c r="A239" s="1">
        <f>HYPERLINK("http://www.twitter.com/NathanBLawrence/status/998427218337382400", "998427218337382400")</f>
        <v/>
      </c>
      <c r="B239" s="2" t="n">
        <v>43241.20570601852</v>
      </c>
      <c r="C239" t="n">
        <v>8</v>
      </c>
      <c r="D239" t="n">
        <v>4</v>
      </c>
      <c r="E239" t="s">
        <v>250</v>
      </c>
      <c r="F239" t="s"/>
      <c r="G239" t="s"/>
      <c r="H239" t="s"/>
      <c r="I239" t="s"/>
      <c r="J239" t="n">
        <v>-0.6207</v>
      </c>
      <c r="K239" t="n">
        <v>0.198</v>
      </c>
      <c r="L239" t="n">
        <v>0.6889999999999999</v>
      </c>
      <c r="M239" t="n">
        <v>0.113</v>
      </c>
    </row>
    <row r="240" spans="1:13">
      <c r="A240" s="1">
        <f>HYPERLINK("http://www.twitter.com/NathanBLawrence/status/998425904115212288", "998425904115212288")</f>
        <v/>
      </c>
      <c r="B240" s="2" t="n">
        <v>43241.20208333333</v>
      </c>
      <c r="C240" t="n">
        <v>0</v>
      </c>
      <c r="D240" t="n">
        <v>409</v>
      </c>
      <c r="E240" t="s">
        <v>251</v>
      </c>
      <c r="F240">
        <f>HYPERLINK("http://pbs.twimg.com/media/Ddr2F8TUwAAQFTM.jpg", "http://pbs.twimg.com/media/Ddr2F8TUwAAQFTM.jpg")</f>
        <v/>
      </c>
      <c r="G240" t="s"/>
      <c r="H240" t="s"/>
      <c r="I240" t="s"/>
      <c r="J240" t="n">
        <v>-0.8957000000000001</v>
      </c>
      <c r="K240" t="n">
        <v>0.383</v>
      </c>
      <c r="L240" t="n">
        <v>0.617</v>
      </c>
      <c r="M240" t="n">
        <v>0</v>
      </c>
    </row>
    <row r="241" spans="1:13">
      <c r="A241" s="1">
        <f>HYPERLINK("http://www.twitter.com/NathanBLawrence/status/998425323518619649", "998425323518619649")</f>
        <v/>
      </c>
      <c r="B241" s="2" t="n">
        <v>43241.20047453704</v>
      </c>
      <c r="C241" t="n">
        <v>2</v>
      </c>
      <c r="D241" t="n">
        <v>2</v>
      </c>
      <c r="E241" t="s">
        <v>252</v>
      </c>
      <c r="F241" t="s"/>
      <c r="G241" t="s"/>
      <c r="H241" t="s"/>
      <c r="I241" t="s"/>
      <c r="J241" t="n">
        <v>-0.3237</v>
      </c>
      <c r="K241" t="n">
        <v>0.067</v>
      </c>
      <c r="L241" t="n">
        <v>0.89</v>
      </c>
      <c r="M241" t="n">
        <v>0.043</v>
      </c>
    </row>
    <row r="242" spans="1:13">
      <c r="A242" s="1">
        <f>HYPERLINK("http://www.twitter.com/NathanBLawrence/status/998422825332490241", "998422825332490241")</f>
        <v/>
      </c>
      <c r="B242" s="2" t="n">
        <v>43241.19358796296</v>
      </c>
      <c r="C242" t="n">
        <v>0</v>
      </c>
      <c r="D242" t="n">
        <v>33</v>
      </c>
      <c r="E242" t="s">
        <v>253</v>
      </c>
      <c r="F242" t="s"/>
      <c r="G242" t="s"/>
      <c r="H242" t="s"/>
      <c r="I242" t="s"/>
      <c r="J242" t="n">
        <v>-0.7258</v>
      </c>
      <c r="K242" t="n">
        <v>0.307</v>
      </c>
      <c r="L242" t="n">
        <v>0.6929999999999999</v>
      </c>
      <c r="M242" t="n">
        <v>0</v>
      </c>
    </row>
    <row r="243" spans="1:13">
      <c r="A243" s="1">
        <f>HYPERLINK("http://www.twitter.com/NathanBLawrence/status/998422715898912768", "998422715898912768")</f>
        <v/>
      </c>
      <c r="B243" s="2" t="n">
        <v>43241.19327546296</v>
      </c>
      <c r="C243" t="n">
        <v>0</v>
      </c>
      <c r="D243" t="n">
        <v>1</v>
      </c>
      <c r="E243" t="s">
        <v>254</v>
      </c>
      <c r="F243" t="s"/>
      <c r="G243" t="s"/>
      <c r="H243" t="s"/>
      <c r="I243" t="s"/>
      <c r="J243" t="n">
        <v>0.6476</v>
      </c>
      <c r="K243" t="n">
        <v>0.114</v>
      </c>
      <c r="L243" t="n">
        <v>0.591</v>
      </c>
      <c r="M243" t="n">
        <v>0.295</v>
      </c>
    </row>
    <row r="244" spans="1:13">
      <c r="A244" s="1">
        <f>HYPERLINK("http://www.twitter.com/NathanBLawrence/status/998422447299772416", "998422447299772416")</f>
        <v/>
      </c>
      <c r="B244" s="2" t="n">
        <v>43241.19253472222</v>
      </c>
      <c r="C244" t="n">
        <v>0</v>
      </c>
      <c r="D244" t="n">
        <v>2</v>
      </c>
      <c r="E244" t="s">
        <v>255</v>
      </c>
      <c r="F244" t="s"/>
      <c r="G244" t="s"/>
      <c r="H244" t="s"/>
      <c r="I244" t="s"/>
      <c r="J244" t="n">
        <v>0.6086</v>
      </c>
      <c r="K244" t="n">
        <v>0</v>
      </c>
      <c r="L244" t="n">
        <v>0.779</v>
      </c>
      <c r="M244" t="n">
        <v>0.221</v>
      </c>
    </row>
    <row r="245" spans="1:13">
      <c r="A245" s="1">
        <f>HYPERLINK("http://www.twitter.com/NathanBLawrence/status/998422397429600257", "998422397429600257")</f>
        <v/>
      </c>
      <c r="B245" s="2" t="n">
        <v>43241.19239583334</v>
      </c>
      <c r="C245" t="n">
        <v>0</v>
      </c>
      <c r="D245" t="n">
        <v>6</v>
      </c>
      <c r="E245" t="s">
        <v>256</v>
      </c>
      <c r="F245" t="s"/>
      <c r="G245" t="s"/>
      <c r="H245" t="s"/>
      <c r="I245" t="s"/>
      <c r="J245" t="n">
        <v>0.4545</v>
      </c>
      <c r="K245" t="n">
        <v>0.075</v>
      </c>
      <c r="L245" t="n">
        <v>0.783</v>
      </c>
      <c r="M245" t="n">
        <v>0.142</v>
      </c>
    </row>
    <row r="246" spans="1:13">
      <c r="A246" s="1">
        <f>HYPERLINK("http://www.twitter.com/NathanBLawrence/status/998420839543459842", "998420839543459842")</f>
        <v/>
      </c>
      <c r="B246" s="2" t="n">
        <v>43241.18810185185</v>
      </c>
      <c r="C246" t="n">
        <v>1</v>
      </c>
      <c r="D246" t="n">
        <v>1</v>
      </c>
      <c r="E246" t="s">
        <v>257</v>
      </c>
      <c r="F246" t="s"/>
      <c r="G246" t="s"/>
      <c r="H246" t="s"/>
      <c r="I246" t="s"/>
      <c r="J246" t="n">
        <v>-0.7916</v>
      </c>
      <c r="K246" t="n">
        <v>0.19</v>
      </c>
      <c r="L246" t="n">
        <v>0.736</v>
      </c>
      <c r="M246" t="n">
        <v>0.074</v>
      </c>
    </row>
    <row r="247" spans="1:13">
      <c r="A247" s="1">
        <f>HYPERLINK("http://www.twitter.com/NathanBLawrence/status/998413713072766976", "998413713072766976")</f>
        <v/>
      </c>
      <c r="B247" s="2" t="n">
        <v>43241.1684375</v>
      </c>
      <c r="C247" t="n">
        <v>0</v>
      </c>
      <c r="D247" t="n">
        <v>3194</v>
      </c>
      <c r="E247" t="s">
        <v>258</v>
      </c>
      <c r="F247" t="s"/>
      <c r="G247" t="s"/>
      <c r="H247" t="s"/>
      <c r="I247" t="s"/>
      <c r="J247" t="n">
        <v>0</v>
      </c>
      <c r="K247" t="n">
        <v>0</v>
      </c>
      <c r="L247" t="n">
        <v>1</v>
      </c>
      <c r="M247" t="n">
        <v>0</v>
      </c>
    </row>
    <row r="248" spans="1:13">
      <c r="A248" s="1">
        <f>HYPERLINK("http://www.twitter.com/NathanBLawrence/status/998412032029351937", "998412032029351937")</f>
        <v/>
      </c>
      <c r="B248" s="2" t="n">
        <v>43241.1637962963</v>
      </c>
      <c r="C248" t="n">
        <v>0</v>
      </c>
      <c r="D248" t="n">
        <v>9515</v>
      </c>
      <c r="E248" t="s">
        <v>259</v>
      </c>
      <c r="F248" t="s"/>
      <c r="G248" t="s"/>
      <c r="H248" t="s"/>
      <c r="I248" t="s"/>
      <c r="J248" t="n">
        <v>-0.3612</v>
      </c>
      <c r="K248" t="n">
        <v>0.218</v>
      </c>
      <c r="L248" t="n">
        <v>0.669</v>
      </c>
      <c r="M248" t="n">
        <v>0.113</v>
      </c>
    </row>
    <row r="249" spans="1:13">
      <c r="A249" s="1">
        <f>HYPERLINK("http://www.twitter.com/NathanBLawrence/status/998411960222863361", "998411960222863361")</f>
        <v/>
      </c>
      <c r="B249" s="2" t="n">
        <v>43241.16359953704</v>
      </c>
      <c r="C249" t="n">
        <v>0</v>
      </c>
      <c r="D249" t="n">
        <v>5220</v>
      </c>
      <c r="E249" t="s">
        <v>260</v>
      </c>
      <c r="F249" t="s"/>
      <c r="G249" t="s"/>
      <c r="H249" t="s"/>
      <c r="I249" t="s"/>
      <c r="J249" t="n">
        <v>-0.4391</v>
      </c>
      <c r="K249" t="n">
        <v>0.194</v>
      </c>
      <c r="L249" t="n">
        <v>0.806</v>
      </c>
      <c r="M249" t="n">
        <v>0</v>
      </c>
    </row>
    <row r="250" spans="1:13">
      <c r="A250" s="1">
        <f>HYPERLINK("http://www.twitter.com/NathanBLawrence/status/998411845139509248", "998411845139509248")</f>
        <v/>
      </c>
      <c r="B250" s="2" t="n">
        <v>43241.16328703704</v>
      </c>
      <c r="C250" t="n">
        <v>0</v>
      </c>
      <c r="D250" t="n">
        <v>6494</v>
      </c>
      <c r="E250" t="s">
        <v>261</v>
      </c>
      <c r="F250" t="s"/>
      <c r="G250" t="s"/>
      <c r="H250" t="s"/>
      <c r="I250" t="s"/>
      <c r="J250" t="n">
        <v>0</v>
      </c>
      <c r="K250" t="n">
        <v>0</v>
      </c>
      <c r="L250" t="n">
        <v>1</v>
      </c>
      <c r="M250" t="n">
        <v>0</v>
      </c>
    </row>
    <row r="251" spans="1:13">
      <c r="A251" s="1">
        <f>HYPERLINK("http://www.twitter.com/NathanBLawrence/status/998411586346729473", "998411586346729473")</f>
        <v/>
      </c>
      <c r="B251" s="2" t="n">
        <v>43241.16256944444</v>
      </c>
      <c r="C251" t="n">
        <v>0</v>
      </c>
      <c r="D251" t="n">
        <v>2620</v>
      </c>
      <c r="E251" t="s">
        <v>262</v>
      </c>
      <c r="F251" t="s"/>
      <c r="G251" t="s"/>
      <c r="H251" t="s"/>
      <c r="I251" t="s"/>
      <c r="J251" t="n">
        <v>0</v>
      </c>
      <c r="K251" t="n">
        <v>0</v>
      </c>
      <c r="L251" t="n">
        <v>1</v>
      </c>
      <c r="M251" t="n">
        <v>0</v>
      </c>
    </row>
    <row r="252" spans="1:13">
      <c r="A252" s="1">
        <f>HYPERLINK("http://www.twitter.com/NathanBLawrence/status/998411430025031680", "998411430025031680")</f>
        <v/>
      </c>
      <c r="B252" s="2" t="n">
        <v>43241.16214120371</v>
      </c>
      <c r="C252" t="n">
        <v>0</v>
      </c>
      <c r="D252" t="n">
        <v>2698</v>
      </c>
      <c r="E252" t="s">
        <v>263</v>
      </c>
      <c r="F252" t="s"/>
      <c r="G252" t="s"/>
      <c r="H252" t="s"/>
      <c r="I252" t="s"/>
      <c r="J252" t="n">
        <v>-0.8126</v>
      </c>
      <c r="K252" t="n">
        <v>0.252</v>
      </c>
      <c r="L252" t="n">
        <v>0.748</v>
      </c>
      <c r="M252" t="n">
        <v>0</v>
      </c>
    </row>
    <row r="253" spans="1:13">
      <c r="A253" s="1">
        <f>HYPERLINK("http://www.twitter.com/NathanBLawrence/status/998411173409112072", "998411173409112072")</f>
        <v/>
      </c>
      <c r="B253" s="2" t="n">
        <v>43241.16142361111</v>
      </c>
      <c r="C253" t="n">
        <v>0</v>
      </c>
      <c r="D253" t="n">
        <v>858</v>
      </c>
      <c r="E253" t="s">
        <v>264</v>
      </c>
      <c r="F253">
        <f>HYPERLINK("http://pbs.twimg.com/media/DdsOOaBU8AAaYRf.jpg", "http://pbs.twimg.com/media/DdsOOaBU8AAaYRf.jpg")</f>
        <v/>
      </c>
      <c r="G253" t="s"/>
      <c r="H253" t="s"/>
      <c r="I253" t="s"/>
      <c r="J253" t="n">
        <v>0.8316</v>
      </c>
      <c r="K253" t="n">
        <v>0</v>
      </c>
      <c r="L253" t="n">
        <v>0.658</v>
      </c>
      <c r="M253" t="n">
        <v>0.342</v>
      </c>
    </row>
    <row r="254" spans="1:13">
      <c r="A254" s="1">
        <f>HYPERLINK("http://www.twitter.com/NathanBLawrence/status/998410861575192576", "998410861575192576")</f>
        <v/>
      </c>
      <c r="B254" s="2" t="n">
        <v>43241.16056712963</v>
      </c>
      <c r="C254" t="n">
        <v>0</v>
      </c>
      <c r="D254" t="n">
        <v>3884</v>
      </c>
      <c r="E254" t="s">
        <v>265</v>
      </c>
      <c r="F254" t="s"/>
      <c r="G254" t="s"/>
      <c r="H254" t="s"/>
      <c r="I254" t="s"/>
      <c r="J254" t="n">
        <v>0</v>
      </c>
      <c r="K254" t="n">
        <v>0</v>
      </c>
      <c r="L254" t="n">
        <v>1</v>
      </c>
      <c r="M254" t="n">
        <v>0</v>
      </c>
    </row>
    <row r="255" spans="1:13">
      <c r="A255" s="1">
        <f>HYPERLINK("http://www.twitter.com/NathanBLawrence/status/998410818969526273", "998410818969526273")</f>
        <v/>
      </c>
      <c r="B255" s="2" t="n">
        <v>43241.16045138889</v>
      </c>
      <c r="C255" t="n">
        <v>0</v>
      </c>
      <c r="D255" t="n">
        <v>5497</v>
      </c>
      <c r="E255" t="s">
        <v>266</v>
      </c>
      <c r="F255">
        <f>HYPERLINK("https://video.twimg.com/amplify_video/997171242451992576/vid/1280x720/9m4Y_p2LVeN6P27w.mp4?tag=2", "https://video.twimg.com/amplify_video/997171242451992576/vid/1280x720/9m4Y_p2LVeN6P27w.mp4?tag=2")</f>
        <v/>
      </c>
      <c r="G255" t="s"/>
      <c r="H255" t="s"/>
      <c r="I255" t="s"/>
      <c r="J255" t="n">
        <v>0.5542</v>
      </c>
      <c r="K255" t="n">
        <v>0</v>
      </c>
      <c r="L255" t="n">
        <v>0.821</v>
      </c>
      <c r="M255" t="n">
        <v>0.179</v>
      </c>
    </row>
    <row r="256" spans="1:13">
      <c r="A256" s="1">
        <f>HYPERLINK("http://www.twitter.com/NathanBLawrence/status/998410698743988224", "998410698743988224")</f>
        <v/>
      </c>
      <c r="B256" s="2" t="n">
        <v>43241.16011574074</v>
      </c>
      <c r="C256" t="n">
        <v>0</v>
      </c>
      <c r="D256" t="n">
        <v>1442</v>
      </c>
      <c r="E256" t="s">
        <v>267</v>
      </c>
      <c r="F256" t="s"/>
      <c r="G256" t="s"/>
      <c r="H256" t="s"/>
      <c r="I256" t="s"/>
      <c r="J256" t="n">
        <v>0</v>
      </c>
      <c r="K256" t="n">
        <v>0</v>
      </c>
      <c r="L256" t="n">
        <v>1</v>
      </c>
      <c r="M256" t="n">
        <v>0</v>
      </c>
    </row>
    <row r="257" spans="1:13">
      <c r="A257" s="1">
        <f>HYPERLINK("http://www.twitter.com/NathanBLawrence/status/998409890681901058", "998409890681901058")</f>
        <v/>
      </c>
      <c r="B257" s="2" t="n">
        <v>43241.15789351852</v>
      </c>
      <c r="C257" t="n">
        <v>0</v>
      </c>
      <c r="D257" t="n">
        <v>1155</v>
      </c>
      <c r="E257" t="s">
        <v>268</v>
      </c>
      <c r="F257" t="s"/>
      <c r="G257" t="s"/>
      <c r="H257" t="s"/>
      <c r="I257" t="s"/>
      <c r="J257" t="n">
        <v>-0.5563</v>
      </c>
      <c r="K257" t="n">
        <v>0.285</v>
      </c>
      <c r="L257" t="n">
        <v>0.715</v>
      </c>
      <c r="M257" t="n">
        <v>0</v>
      </c>
    </row>
    <row r="258" spans="1:13">
      <c r="A258" s="1">
        <f>HYPERLINK("http://www.twitter.com/NathanBLawrence/status/998409777750228993", "998409777750228993")</f>
        <v/>
      </c>
      <c r="B258" s="2" t="n">
        <v>43241.15758101852</v>
      </c>
      <c r="C258" t="n">
        <v>4</v>
      </c>
      <c r="D258" t="n">
        <v>2</v>
      </c>
      <c r="E258" t="s">
        <v>269</v>
      </c>
      <c r="F258" t="s"/>
      <c r="G258" t="s"/>
      <c r="H258" t="s"/>
      <c r="I258" t="s"/>
      <c r="J258" t="n">
        <v>0.25</v>
      </c>
      <c r="K258" t="n">
        <v>0.122</v>
      </c>
      <c r="L258" t="n">
        <v>0.6830000000000001</v>
      </c>
      <c r="M258" t="n">
        <v>0.194</v>
      </c>
    </row>
    <row r="259" spans="1:13">
      <c r="A259" s="1">
        <f>HYPERLINK("http://www.twitter.com/NathanBLawrence/status/998409491807846401", "998409491807846401")</f>
        <v/>
      </c>
      <c r="B259" s="2" t="n">
        <v>43241.15679398148</v>
      </c>
      <c r="C259" t="n">
        <v>0</v>
      </c>
      <c r="D259" t="n">
        <v>672</v>
      </c>
      <c r="E259" t="s">
        <v>270</v>
      </c>
      <c r="F259" t="s"/>
      <c r="G259" t="s"/>
      <c r="H259" t="s"/>
      <c r="I259" t="s"/>
      <c r="J259" t="n">
        <v>-0.7703</v>
      </c>
      <c r="K259" t="n">
        <v>0.225</v>
      </c>
      <c r="L259" t="n">
        <v>0.775</v>
      </c>
      <c r="M259" t="n">
        <v>0</v>
      </c>
    </row>
    <row r="260" spans="1:13">
      <c r="A260" s="1">
        <f>HYPERLINK("http://www.twitter.com/NathanBLawrence/status/998409094942765056", "998409094942765056")</f>
        <v/>
      </c>
      <c r="B260" s="2" t="n">
        <v>43241.15569444445</v>
      </c>
      <c r="C260" t="n">
        <v>0</v>
      </c>
      <c r="D260" t="n">
        <v>0</v>
      </c>
      <c r="E260" t="s">
        <v>271</v>
      </c>
      <c r="F260" t="s"/>
      <c r="G260" t="s"/>
      <c r="H260" t="s"/>
      <c r="I260" t="s"/>
      <c r="J260" t="n">
        <v>0</v>
      </c>
      <c r="K260" t="n">
        <v>0</v>
      </c>
      <c r="L260" t="n">
        <v>1</v>
      </c>
      <c r="M260" t="n">
        <v>0</v>
      </c>
    </row>
    <row r="261" spans="1:13">
      <c r="A261" s="1">
        <f>HYPERLINK("http://www.twitter.com/NathanBLawrence/status/998408010773876736", "998408010773876736")</f>
        <v/>
      </c>
      <c r="B261" s="2" t="n">
        <v>43241.15269675926</v>
      </c>
      <c r="C261" t="n">
        <v>0</v>
      </c>
      <c r="D261" t="n">
        <v>3</v>
      </c>
      <c r="E261" t="s">
        <v>272</v>
      </c>
      <c r="F261" t="s"/>
      <c r="G261" t="s"/>
      <c r="H261" t="s"/>
      <c r="I261" t="s"/>
      <c r="J261" t="n">
        <v>-0.6996</v>
      </c>
      <c r="K261" t="n">
        <v>0.335</v>
      </c>
      <c r="L261" t="n">
        <v>0.551</v>
      </c>
      <c r="M261" t="n">
        <v>0.115</v>
      </c>
    </row>
    <row r="262" spans="1:13">
      <c r="A262" s="1">
        <f>HYPERLINK("http://www.twitter.com/NathanBLawrence/status/998407192943341568", "998407192943341568")</f>
        <v/>
      </c>
      <c r="B262" s="2" t="n">
        <v>43241.15043981482</v>
      </c>
      <c r="C262" t="n">
        <v>0</v>
      </c>
      <c r="D262" t="n">
        <v>945</v>
      </c>
      <c r="E262" t="s">
        <v>273</v>
      </c>
      <c r="F262" t="s"/>
      <c r="G262" t="s"/>
      <c r="H262" t="s"/>
      <c r="I262" t="s"/>
      <c r="J262" t="n">
        <v>0.4767</v>
      </c>
      <c r="K262" t="n">
        <v>0.062</v>
      </c>
      <c r="L262" t="n">
        <v>0.8</v>
      </c>
      <c r="M262" t="n">
        <v>0.138</v>
      </c>
    </row>
    <row r="263" spans="1:13">
      <c r="A263" s="1">
        <f>HYPERLINK("http://www.twitter.com/NathanBLawrence/status/998405066825461760", "998405066825461760")</f>
        <v/>
      </c>
      <c r="B263" s="2" t="n">
        <v>43241.14458333333</v>
      </c>
      <c r="C263" t="n">
        <v>0</v>
      </c>
      <c r="D263" t="n">
        <v>307</v>
      </c>
      <c r="E263" t="s">
        <v>274</v>
      </c>
      <c r="F263" t="s"/>
      <c r="G263" t="s"/>
      <c r="H263" t="s"/>
      <c r="I263" t="s"/>
      <c r="J263" t="n">
        <v>0</v>
      </c>
      <c r="K263" t="n">
        <v>0</v>
      </c>
      <c r="L263" t="n">
        <v>1</v>
      </c>
      <c r="M263" t="n">
        <v>0</v>
      </c>
    </row>
    <row r="264" spans="1:13">
      <c r="A264" s="1">
        <f>HYPERLINK("http://www.twitter.com/NathanBLawrence/status/998405020847521792", "998405020847521792")</f>
        <v/>
      </c>
      <c r="B264" s="2" t="n">
        <v>43241.14445601852</v>
      </c>
      <c r="C264" t="n">
        <v>0</v>
      </c>
      <c r="D264" t="n">
        <v>3432</v>
      </c>
      <c r="E264" t="s">
        <v>275</v>
      </c>
      <c r="F264" t="s"/>
      <c r="G264" t="s"/>
      <c r="H264" t="s"/>
      <c r="I264" t="s"/>
      <c r="J264" t="n">
        <v>-0.296</v>
      </c>
      <c r="K264" t="n">
        <v>0.136</v>
      </c>
      <c r="L264" t="n">
        <v>0.864</v>
      </c>
      <c r="M264" t="n">
        <v>0</v>
      </c>
    </row>
    <row r="265" spans="1:13">
      <c r="A265" s="1">
        <f>HYPERLINK("http://www.twitter.com/NathanBLawrence/status/998394441965625344", "998394441965625344")</f>
        <v/>
      </c>
      <c r="B265" s="2" t="n">
        <v>43241.11525462963</v>
      </c>
      <c r="C265" t="n">
        <v>0</v>
      </c>
      <c r="D265" t="n">
        <v>5253</v>
      </c>
      <c r="E265" t="s">
        <v>276</v>
      </c>
      <c r="F265" t="s"/>
      <c r="G265" t="s"/>
      <c r="H265" t="s"/>
      <c r="I265" t="s"/>
      <c r="J265" t="n">
        <v>-0.5266999999999999</v>
      </c>
      <c r="K265" t="n">
        <v>0.139</v>
      </c>
      <c r="L265" t="n">
        <v>0.861</v>
      </c>
      <c r="M265" t="n">
        <v>0</v>
      </c>
    </row>
    <row r="266" spans="1:13">
      <c r="A266" s="1">
        <f>HYPERLINK("http://www.twitter.com/NathanBLawrence/status/998393899738587136", "998393899738587136")</f>
        <v/>
      </c>
      <c r="B266" s="2" t="n">
        <v>43241.11376157407</v>
      </c>
      <c r="C266" t="n">
        <v>0</v>
      </c>
      <c r="D266" t="n">
        <v>460</v>
      </c>
      <c r="E266" t="s">
        <v>277</v>
      </c>
      <c r="F266" t="s"/>
      <c r="G266" t="s"/>
      <c r="H266" t="s"/>
      <c r="I266" t="s"/>
      <c r="J266" t="n">
        <v>0.1531</v>
      </c>
      <c r="K266" t="n">
        <v>0.106</v>
      </c>
      <c r="L266" t="n">
        <v>0.763</v>
      </c>
      <c r="M266" t="n">
        <v>0.131</v>
      </c>
    </row>
    <row r="267" spans="1:13">
      <c r="A267" s="1">
        <f>HYPERLINK("http://www.twitter.com/NathanBLawrence/status/998392383971639297", "998392383971639297")</f>
        <v/>
      </c>
      <c r="B267" s="2" t="n">
        <v>43241.10958333333</v>
      </c>
      <c r="C267" t="n">
        <v>0</v>
      </c>
      <c r="D267" t="n">
        <v>1535</v>
      </c>
      <c r="E267" t="s">
        <v>278</v>
      </c>
      <c r="F267">
        <f>HYPERLINK("http://pbs.twimg.com/media/DdprWO0V0AA9xMG.jpg", "http://pbs.twimg.com/media/DdprWO0V0AA9xMG.jpg")</f>
        <v/>
      </c>
      <c r="G267" t="s"/>
      <c r="H267" t="s"/>
      <c r="I267" t="s"/>
      <c r="J267" t="n">
        <v>0.3182</v>
      </c>
      <c r="K267" t="n">
        <v>0</v>
      </c>
      <c r="L267" t="n">
        <v>0.892</v>
      </c>
      <c r="M267" t="n">
        <v>0.108</v>
      </c>
    </row>
    <row r="268" spans="1:13">
      <c r="A268" s="1">
        <f>HYPERLINK("http://www.twitter.com/NathanBLawrence/status/998391850468757505", "998391850468757505")</f>
        <v/>
      </c>
      <c r="B268" s="2" t="n">
        <v>43241.10811342593</v>
      </c>
      <c r="C268" t="n">
        <v>0</v>
      </c>
      <c r="D268" t="n">
        <v>7</v>
      </c>
      <c r="E268" t="s">
        <v>279</v>
      </c>
      <c r="F268" t="s"/>
      <c r="G268" t="s"/>
      <c r="H268" t="s"/>
      <c r="I268" t="s"/>
      <c r="J268" t="n">
        <v>-0.5266999999999999</v>
      </c>
      <c r="K268" t="n">
        <v>0.173</v>
      </c>
      <c r="L268" t="n">
        <v>0.827</v>
      </c>
      <c r="M268" t="n">
        <v>0</v>
      </c>
    </row>
    <row r="269" spans="1:13">
      <c r="A269" s="1">
        <f>HYPERLINK("http://www.twitter.com/NathanBLawrence/status/998389741199347713", "998389741199347713")</f>
        <v/>
      </c>
      <c r="B269" s="2" t="n">
        <v>43241.10229166667</v>
      </c>
      <c r="C269" t="n">
        <v>0</v>
      </c>
      <c r="D269" t="n">
        <v>1556</v>
      </c>
      <c r="E269" t="s">
        <v>280</v>
      </c>
      <c r="F269" t="s"/>
      <c r="G269" t="s"/>
      <c r="H269" t="s"/>
      <c r="I269" t="s"/>
      <c r="J269" t="n">
        <v>0.2263</v>
      </c>
      <c r="K269" t="n">
        <v>0</v>
      </c>
      <c r="L269" t="n">
        <v>0.909</v>
      </c>
      <c r="M269" t="n">
        <v>0.091</v>
      </c>
    </row>
    <row r="270" spans="1:13">
      <c r="A270" s="1">
        <f>HYPERLINK("http://www.twitter.com/NathanBLawrence/status/998389361635807232", "998389361635807232")</f>
        <v/>
      </c>
      <c r="B270" s="2" t="n">
        <v>43241.10123842592</v>
      </c>
      <c r="C270" t="n">
        <v>0</v>
      </c>
      <c r="D270" t="n">
        <v>367</v>
      </c>
      <c r="E270" t="s">
        <v>281</v>
      </c>
      <c r="F270" t="s"/>
      <c r="G270" t="s"/>
      <c r="H270" t="s"/>
      <c r="I270" t="s"/>
      <c r="J270" t="n">
        <v>0</v>
      </c>
      <c r="K270" t="n">
        <v>0</v>
      </c>
      <c r="L270" t="n">
        <v>1</v>
      </c>
      <c r="M270" t="n">
        <v>0</v>
      </c>
    </row>
    <row r="271" spans="1:13">
      <c r="A271" s="1">
        <f>HYPERLINK("http://www.twitter.com/NathanBLawrence/status/998388982323937280", "998388982323937280")</f>
        <v/>
      </c>
      <c r="B271" s="2" t="n">
        <v>43241.10019675926</v>
      </c>
      <c r="C271" t="n">
        <v>0</v>
      </c>
      <c r="D271" t="n">
        <v>1268</v>
      </c>
      <c r="E271" t="s">
        <v>282</v>
      </c>
      <c r="F271" t="s"/>
      <c r="G271" t="s"/>
      <c r="H271" t="s"/>
      <c r="I271" t="s"/>
      <c r="J271" t="n">
        <v>0.6369</v>
      </c>
      <c r="K271" t="n">
        <v>0</v>
      </c>
      <c r="L271" t="n">
        <v>0.802</v>
      </c>
      <c r="M271" t="n">
        <v>0.198</v>
      </c>
    </row>
    <row r="272" spans="1:13">
      <c r="A272" s="1">
        <f>HYPERLINK("http://www.twitter.com/NathanBLawrence/status/998340321795686400", "998340321795686400")</f>
        <v/>
      </c>
      <c r="B272" s="2" t="n">
        <v>43240.96591435185</v>
      </c>
      <c r="C272" t="n">
        <v>0</v>
      </c>
      <c r="D272" t="n">
        <v>53088</v>
      </c>
      <c r="E272" t="s">
        <v>283</v>
      </c>
      <c r="F272" t="s"/>
      <c r="G272" t="s"/>
      <c r="H272" t="s"/>
      <c r="I272" t="s"/>
      <c r="J272" t="n">
        <v>0.4404</v>
      </c>
      <c r="K272" t="n">
        <v>0.06</v>
      </c>
      <c r="L272" t="n">
        <v>0.803</v>
      </c>
      <c r="M272" t="n">
        <v>0.137</v>
      </c>
    </row>
    <row r="273" spans="1:13">
      <c r="A273" s="1">
        <f>HYPERLINK("http://www.twitter.com/NathanBLawrence/status/998340118753628160", "998340118753628160")</f>
        <v/>
      </c>
      <c r="B273" s="2" t="n">
        <v>43240.9653587963</v>
      </c>
      <c r="C273" t="n">
        <v>0</v>
      </c>
      <c r="D273" t="n">
        <v>19151</v>
      </c>
      <c r="E273" t="s">
        <v>284</v>
      </c>
      <c r="F273" t="s"/>
      <c r="G273" t="s"/>
      <c r="H273" t="s"/>
      <c r="I273" t="s"/>
      <c r="J273" t="n">
        <v>0.1759</v>
      </c>
      <c r="K273" t="n">
        <v>0.178</v>
      </c>
      <c r="L273" t="n">
        <v>0.676</v>
      </c>
      <c r="M273" t="n">
        <v>0.146</v>
      </c>
    </row>
    <row r="274" spans="1:13">
      <c r="A274" s="1">
        <f>HYPERLINK("http://www.twitter.com/NathanBLawrence/status/998268222532083712", "998268222532083712")</f>
        <v/>
      </c>
      <c r="B274" s="2" t="n">
        <v>43240.76695601852</v>
      </c>
      <c r="C274" t="n">
        <v>0</v>
      </c>
      <c r="D274" t="n">
        <v>6</v>
      </c>
      <c r="E274" t="s">
        <v>285</v>
      </c>
      <c r="F274" t="s"/>
      <c r="G274" t="s"/>
      <c r="H274" t="s"/>
      <c r="I274" t="s"/>
      <c r="J274" t="n">
        <v>0</v>
      </c>
      <c r="K274" t="n">
        <v>0</v>
      </c>
      <c r="L274" t="n">
        <v>1</v>
      </c>
      <c r="M274" t="n">
        <v>0</v>
      </c>
    </row>
    <row r="275" spans="1:13">
      <c r="A275" s="1">
        <f>HYPERLINK("http://www.twitter.com/NathanBLawrence/status/998268183957028864", "998268183957028864")</f>
        <v/>
      </c>
      <c r="B275" s="2" t="n">
        <v>43240.76685185185</v>
      </c>
      <c r="C275" t="n">
        <v>0</v>
      </c>
      <c r="D275" t="n">
        <v>2</v>
      </c>
      <c r="E275" t="s">
        <v>286</v>
      </c>
      <c r="F275">
        <f>HYPERLINK("http://pbs.twimg.com/media/DdkbHZjW0AE7OqL.jpg", "http://pbs.twimg.com/media/DdkbHZjW0AE7OqL.jpg")</f>
        <v/>
      </c>
      <c r="G275" t="s"/>
      <c r="H275" t="s"/>
      <c r="I275" t="s"/>
      <c r="J275" t="n">
        <v>0</v>
      </c>
      <c r="K275" t="n">
        <v>0</v>
      </c>
      <c r="L275" t="n">
        <v>1</v>
      </c>
      <c r="M275" t="n">
        <v>0</v>
      </c>
    </row>
    <row r="276" spans="1:13">
      <c r="A276" s="1">
        <f>HYPERLINK("http://www.twitter.com/NathanBLawrence/status/998267671803191297", "998267671803191297")</f>
        <v/>
      </c>
      <c r="B276" s="2" t="n">
        <v>43240.76543981482</v>
      </c>
      <c r="C276" t="n">
        <v>0</v>
      </c>
      <c r="D276" t="n">
        <v>4</v>
      </c>
      <c r="E276" t="s">
        <v>287</v>
      </c>
      <c r="F276">
        <f>HYPERLINK("http://pbs.twimg.com/media/DdljQBAU0AApkDc.jpg", "http://pbs.twimg.com/media/DdljQBAU0AApkDc.jpg")</f>
        <v/>
      </c>
      <c r="G276" t="s"/>
      <c r="H276" t="s"/>
      <c r="I276" t="s"/>
      <c r="J276" t="n">
        <v>0.2263</v>
      </c>
      <c r="K276" t="n">
        <v>0.073</v>
      </c>
      <c r="L276" t="n">
        <v>0.8159999999999999</v>
      </c>
      <c r="M276" t="n">
        <v>0.11</v>
      </c>
    </row>
    <row r="277" spans="1:13">
      <c r="A277" s="1">
        <f>HYPERLINK("http://www.twitter.com/NathanBLawrence/status/998267265832304641", "998267265832304641")</f>
        <v/>
      </c>
      <c r="B277" s="2" t="n">
        <v>43240.76431712963</v>
      </c>
      <c r="C277" t="n">
        <v>0</v>
      </c>
      <c r="D277" t="n">
        <v>7</v>
      </c>
      <c r="E277" t="s">
        <v>288</v>
      </c>
      <c r="F277" t="s"/>
      <c r="G277" t="s"/>
      <c r="H277" t="s"/>
      <c r="I277" t="s"/>
      <c r="J277" t="n">
        <v>-0.9601</v>
      </c>
      <c r="K277" t="n">
        <v>0.55</v>
      </c>
      <c r="L277" t="n">
        <v>0.45</v>
      </c>
      <c r="M277" t="n">
        <v>0</v>
      </c>
    </row>
    <row r="278" spans="1:13">
      <c r="A278" s="1">
        <f>HYPERLINK("http://www.twitter.com/NathanBLawrence/status/998266627417239552", "998266627417239552")</f>
        <v/>
      </c>
      <c r="B278" s="2" t="n">
        <v>43240.76255787037</v>
      </c>
      <c r="C278" t="n">
        <v>0</v>
      </c>
      <c r="D278" t="n">
        <v>5</v>
      </c>
      <c r="E278" t="s">
        <v>289</v>
      </c>
      <c r="F278" t="s"/>
      <c r="G278" t="s"/>
      <c r="H278" t="s"/>
      <c r="I278" t="s"/>
      <c r="J278" t="n">
        <v>0</v>
      </c>
      <c r="K278" t="n">
        <v>0</v>
      </c>
      <c r="L278" t="n">
        <v>1</v>
      </c>
      <c r="M278" t="n">
        <v>0</v>
      </c>
    </row>
    <row r="279" spans="1:13">
      <c r="A279" s="1">
        <f>HYPERLINK("http://www.twitter.com/NathanBLawrence/status/998266044186701824", "998266044186701824")</f>
        <v/>
      </c>
      <c r="B279" s="2" t="n">
        <v>43240.76094907407</v>
      </c>
      <c r="C279" t="n">
        <v>0</v>
      </c>
      <c r="D279" t="n">
        <v>7</v>
      </c>
      <c r="E279" t="s">
        <v>290</v>
      </c>
      <c r="F279" t="s"/>
      <c r="G279" t="s"/>
      <c r="H279" t="s"/>
      <c r="I279" t="s"/>
      <c r="J279" t="n">
        <v>0.3182</v>
      </c>
      <c r="K279" t="n">
        <v>0</v>
      </c>
      <c r="L279" t="n">
        <v>0.909</v>
      </c>
      <c r="M279" t="n">
        <v>0.091</v>
      </c>
    </row>
    <row r="280" spans="1:13">
      <c r="A280" s="1">
        <f>HYPERLINK("http://www.twitter.com/NathanBLawrence/status/998265682692222976", "998265682692222976")</f>
        <v/>
      </c>
      <c r="B280" s="2" t="n">
        <v>43240.7599537037</v>
      </c>
      <c r="C280" t="n">
        <v>0</v>
      </c>
      <c r="D280" t="n">
        <v>0</v>
      </c>
      <c r="E280" t="s">
        <v>291</v>
      </c>
      <c r="F280" t="s"/>
      <c r="G280" t="s"/>
      <c r="H280" t="s"/>
      <c r="I280" t="s"/>
      <c r="J280" t="n">
        <v>0</v>
      </c>
      <c r="K280" t="n">
        <v>0</v>
      </c>
      <c r="L280" t="n">
        <v>1</v>
      </c>
      <c r="M280" t="n">
        <v>0</v>
      </c>
    </row>
    <row r="281" spans="1:13">
      <c r="A281" s="1">
        <f>HYPERLINK("http://www.twitter.com/NathanBLawrence/status/998265369843265536", "998265369843265536")</f>
        <v/>
      </c>
      <c r="B281" s="2" t="n">
        <v>43240.75908564815</v>
      </c>
      <c r="C281" t="n">
        <v>0</v>
      </c>
      <c r="D281" t="n">
        <v>13</v>
      </c>
      <c r="E281" t="s">
        <v>292</v>
      </c>
      <c r="F281" t="s"/>
      <c r="G281" t="s"/>
      <c r="H281" t="s"/>
      <c r="I281" t="s"/>
      <c r="J281" t="n">
        <v>-0.8934</v>
      </c>
      <c r="K281" t="n">
        <v>0.422</v>
      </c>
      <c r="L281" t="n">
        <v>0.578</v>
      </c>
      <c r="M281" t="n">
        <v>0</v>
      </c>
    </row>
    <row r="282" spans="1:13">
      <c r="A282" s="1">
        <f>HYPERLINK("http://www.twitter.com/NathanBLawrence/status/998265327090786304", "998265327090786304")</f>
        <v/>
      </c>
      <c r="B282" s="2" t="n">
        <v>43240.75896990741</v>
      </c>
      <c r="C282" t="n">
        <v>0</v>
      </c>
      <c r="D282" t="n">
        <v>2</v>
      </c>
      <c r="E282" t="s">
        <v>293</v>
      </c>
      <c r="F282">
        <f>HYPERLINK("http://pbs.twimg.com/media/DdnTnsvV4AAq3j_.jpg", "http://pbs.twimg.com/media/DdnTnsvV4AAq3j_.jpg")</f>
        <v/>
      </c>
      <c r="G282" t="s"/>
      <c r="H282" t="s"/>
      <c r="I282" t="s"/>
      <c r="J282" t="n">
        <v>-0.5106000000000001</v>
      </c>
      <c r="K282" t="n">
        <v>0.191</v>
      </c>
      <c r="L282" t="n">
        <v>0.8090000000000001</v>
      </c>
      <c r="M282" t="n">
        <v>0</v>
      </c>
    </row>
    <row r="283" spans="1:13">
      <c r="A283" s="1">
        <f>HYPERLINK("http://www.twitter.com/NathanBLawrence/status/998263427918254080", "998263427918254080")</f>
        <v/>
      </c>
      <c r="B283" s="2" t="n">
        <v>43240.75372685185</v>
      </c>
      <c r="C283" t="n">
        <v>0</v>
      </c>
      <c r="D283" t="n">
        <v>214</v>
      </c>
      <c r="E283" t="s">
        <v>294</v>
      </c>
      <c r="F283">
        <f>HYPERLINK("http://pbs.twimg.com/media/DdmcGIpV0AEa7Ff.jpg", "http://pbs.twimg.com/media/DdmcGIpV0AEa7Ff.jpg")</f>
        <v/>
      </c>
      <c r="G283" t="s"/>
      <c r="H283" t="s"/>
      <c r="I283" t="s"/>
      <c r="J283" t="n">
        <v>0.4939</v>
      </c>
      <c r="K283" t="n">
        <v>0</v>
      </c>
      <c r="L283" t="n">
        <v>0.824</v>
      </c>
      <c r="M283" t="n">
        <v>0.176</v>
      </c>
    </row>
    <row r="284" spans="1:13">
      <c r="A284" s="1">
        <f>HYPERLINK("http://www.twitter.com/NathanBLawrence/status/998220879283851264", "998220879283851264")</f>
        <v/>
      </c>
      <c r="B284" s="2" t="n">
        <v>43240.63631944444</v>
      </c>
      <c r="C284" t="n">
        <v>0</v>
      </c>
      <c r="D284" t="n">
        <v>310</v>
      </c>
      <c r="E284" t="s">
        <v>295</v>
      </c>
      <c r="F284" t="s"/>
      <c r="G284" t="s"/>
      <c r="H284" t="s"/>
      <c r="I284" t="s"/>
      <c r="J284" t="n">
        <v>0.128</v>
      </c>
      <c r="K284" t="n">
        <v>0</v>
      </c>
      <c r="L284" t="n">
        <v>0.889</v>
      </c>
      <c r="M284" t="n">
        <v>0.111</v>
      </c>
    </row>
    <row r="285" spans="1:13">
      <c r="A285" s="1">
        <f>HYPERLINK("http://www.twitter.com/NathanBLawrence/status/998220600819806208", "998220600819806208")</f>
        <v/>
      </c>
      <c r="B285" s="2" t="n">
        <v>43240.63554398148</v>
      </c>
      <c r="C285" t="n">
        <v>0</v>
      </c>
      <c r="D285" t="n">
        <v>5</v>
      </c>
      <c r="E285" t="s">
        <v>296</v>
      </c>
      <c r="F285" t="s"/>
      <c r="G285" t="s"/>
      <c r="H285" t="s"/>
      <c r="I285" t="s"/>
      <c r="J285" t="n">
        <v>-0.6841</v>
      </c>
      <c r="K285" t="n">
        <v>0.188</v>
      </c>
      <c r="L285" t="n">
        <v>0.8120000000000001</v>
      </c>
      <c r="M285" t="n">
        <v>0</v>
      </c>
    </row>
    <row r="286" spans="1:13">
      <c r="A286" s="1">
        <f>HYPERLINK("http://www.twitter.com/NathanBLawrence/status/998220333458092032", "998220333458092032")</f>
        <v/>
      </c>
      <c r="B286" s="2" t="n">
        <v>43240.63481481482</v>
      </c>
      <c r="C286" t="n">
        <v>0</v>
      </c>
      <c r="D286" t="n">
        <v>3633</v>
      </c>
      <c r="E286" t="s">
        <v>297</v>
      </c>
      <c r="F286" t="s"/>
      <c r="G286" t="s"/>
      <c r="H286" t="s"/>
      <c r="I286" t="s"/>
      <c r="J286" t="n">
        <v>-0.5574</v>
      </c>
      <c r="K286" t="n">
        <v>0.195</v>
      </c>
      <c r="L286" t="n">
        <v>0.805</v>
      </c>
      <c r="M286" t="n">
        <v>0</v>
      </c>
    </row>
    <row r="287" spans="1:13">
      <c r="A287" s="1">
        <f>HYPERLINK("http://www.twitter.com/NathanBLawrence/status/998220239300124680", "998220239300124680")</f>
        <v/>
      </c>
      <c r="B287" s="2" t="n">
        <v>43240.63454861111</v>
      </c>
      <c r="C287" t="n">
        <v>0</v>
      </c>
      <c r="D287" t="n">
        <v>4323</v>
      </c>
      <c r="E287" t="s">
        <v>298</v>
      </c>
      <c r="F287" t="s"/>
      <c r="G287" t="s"/>
      <c r="H287" t="s"/>
      <c r="I287" t="s"/>
      <c r="J287" t="n">
        <v>0</v>
      </c>
      <c r="K287" t="n">
        <v>0</v>
      </c>
      <c r="L287" t="n">
        <v>1</v>
      </c>
      <c r="M287" t="n">
        <v>0</v>
      </c>
    </row>
    <row r="288" spans="1:13">
      <c r="A288" s="1">
        <f>HYPERLINK("http://www.twitter.com/NathanBLawrence/status/998220079694336000", "998220079694336000")</f>
        <v/>
      </c>
      <c r="B288" s="2" t="n">
        <v>43240.63410879629</v>
      </c>
      <c r="C288" t="n">
        <v>0</v>
      </c>
      <c r="D288" t="n">
        <v>228</v>
      </c>
      <c r="E288" t="s">
        <v>299</v>
      </c>
      <c r="F288" t="s"/>
      <c r="G288" t="s"/>
      <c r="H288" t="s"/>
      <c r="I288" t="s"/>
      <c r="J288" t="n">
        <v>0</v>
      </c>
      <c r="K288" t="n">
        <v>0</v>
      </c>
      <c r="L288" t="n">
        <v>1</v>
      </c>
      <c r="M288" t="n">
        <v>0</v>
      </c>
    </row>
    <row r="289" spans="1:13">
      <c r="A289" s="1">
        <f>HYPERLINK("http://www.twitter.com/NathanBLawrence/status/998220036778143749", "998220036778143749")</f>
        <v/>
      </c>
      <c r="B289" s="2" t="n">
        <v>43240.63399305556</v>
      </c>
      <c r="C289" t="n">
        <v>0</v>
      </c>
      <c r="D289" t="n">
        <v>314</v>
      </c>
      <c r="E289" t="s">
        <v>300</v>
      </c>
      <c r="F289" t="s"/>
      <c r="G289" t="s"/>
      <c r="H289" t="s"/>
      <c r="I289" t="s"/>
      <c r="J289" t="n">
        <v>-0.4199</v>
      </c>
      <c r="K289" t="n">
        <v>0.128</v>
      </c>
      <c r="L289" t="n">
        <v>0.872</v>
      </c>
      <c r="M289" t="n">
        <v>0</v>
      </c>
    </row>
    <row r="290" spans="1:13">
      <c r="A290" s="1">
        <f>HYPERLINK("http://www.twitter.com/NathanBLawrence/status/998219745802452992", "998219745802452992")</f>
        <v/>
      </c>
      <c r="B290" s="2" t="n">
        <v>43240.63319444445</v>
      </c>
      <c r="C290" t="n">
        <v>0</v>
      </c>
      <c r="D290" t="n">
        <v>4115</v>
      </c>
      <c r="E290" t="s">
        <v>301</v>
      </c>
      <c r="F290" t="s"/>
      <c r="G290" t="s"/>
      <c r="H290" t="s"/>
      <c r="I290" t="s"/>
      <c r="J290" t="n">
        <v>0</v>
      </c>
      <c r="K290" t="n">
        <v>0</v>
      </c>
      <c r="L290" t="n">
        <v>1</v>
      </c>
      <c r="M290" t="n">
        <v>0</v>
      </c>
    </row>
    <row r="291" spans="1:13">
      <c r="A291" s="1">
        <f>HYPERLINK("http://www.twitter.com/NathanBLawrence/status/998219624176148481", "998219624176148481")</f>
        <v/>
      </c>
      <c r="B291" s="2" t="n">
        <v>43240.6328587963</v>
      </c>
      <c r="C291" t="n">
        <v>0</v>
      </c>
      <c r="D291" t="n">
        <v>265</v>
      </c>
      <c r="E291" t="s">
        <v>302</v>
      </c>
      <c r="F291" t="s"/>
      <c r="G291" t="s"/>
      <c r="H291" t="s"/>
      <c r="I291" t="s"/>
      <c r="J291" t="n">
        <v>0</v>
      </c>
      <c r="K291" t="n">
        <v>0</v>
      </c>
      <c r="L291" t="n">
        <v>1</v>
      </c>
      <c r="M291" t="n">
        <v>0</v>
      </c>
    </row>
    <row r="292" spans="1:13">
      <c r="A292" s="1">
        <f>HYPERLINK("http://www.twitter.com/NathanBLawrence/status/998219384853270529", "998219384853270529")</f>
        <v/>
      </c>
      <c r="B292" s="2" t="n">
        <v>43240.63219907408</v>
      </c>
      <c r="C292" t="n">
        <v>0</v>
      </c>
      <c r="D292" t="n">
        <v>60</v>
      </c>
      <c r="E292" t="s">
        <v>303</v>
      </c>
      <c r="F292" t="s"/>
      <c r="G292" t="s"/>
      <c r="H292" t="s"/>
      <c r="I292" t="s"/>
      <c r="J292" t="n">
        <v>0.6166</v>
      </c>
      <c r="K292" t="n">
        <v>0</v>
      </c>
      <c r="L292" t="n">
        <v>0.776</v>
      </c>
      <c r="M292" t="n">
        <v>0.224</v>
      </c>
    </row>
    <row r="293" spans="1:13">
      <c r="A293" s="1">
        <f>HYPERLINK("http://www.twitter.com/NathanBLawrence/status/998219328158949376", "998219328158949376")</f>
        <v/>
      </c>
      <c r="B293" s="2" t="n">
        <v>43240.63203703704</v>
      </c>
      <c r="C293" t="n">
        <v>0</v>
      </c>
      <c r="D293" t="n">
        <v>427</v>
      </c>
      <c r="E293" t="s">
        <v>304</v>
      </c>
      <c r="F293" t="s"/>
      <c r="G293" t="s"/>
      <c r="H293" t="s"/>
      <c r="I293" t="s"/>
      <c r="J293" t="n">
        <v>-0.7712</v>
      </c>
      <c r="K293" t="n">
        <v>0.455</v>
      </c>
      <c r="L293" t="n">
        <v>0.545</v>
      </c>
      <c r="M293" t="n">
        <v>0</v>
      </c>
    </row>
    <row r="294" spans="1:13">
      <c r="A294" s="1">
        <f>HYPERLINK("http://www.twitter.com/NathanBLawrence/status/998219185078587392", "998219185078587392")</f>
        <v/>
      </c>
      <c r="B294" s="2" t="n">
        <v>43240.63164351852</v>
      </c>
      <c r="C294" t="n">
        <v>0</v>
      </c>
      <c r="D294" t="n">
        <v>17267</v>
      </c>
      <c r="E294" t="s">
        <v>305</v>
      </c>
      <c r="F294">
        <f>HYPERLINK("https://video.twimg.com/ext_tw_video/997899842817961985/pu/vid/1280x720/iGoZT79tZ4eQ9hwk.mp4?tag=3", "https://video.twimg.com/ext_tw_video/997899842817961985/pu/vid/1280x720/iGoZT79tZ4eQ9hwk.mp4?tag=3")</f>
        <v/>
      </c>
      <c r="G294" t="s"/>
      <c r="H294" t="s"/>
      <c r="I294" t="s"/>
      <c r="J294" t="n">
        <v>0.8697</v>
      </c>
      <c r="K294" t="n">
        <v>0</v>
      </c>
      <c r="L294" t="n">
        <v>0.658</v>
      </c>
      <c r="M294" t="n">
        <v>0.342</v>
      </c>
    </row>
    <row r="295" spans="1:13">
      <c r="A295" s="1">
        <f>HYPERLINK("http://www.twitter.com/NathanBLawrence/status/998219126136066049", "998219126136066049")</f>
        <v/>
      </c>
      <c r="B295" s="2" t="n">
        <v>43240.63148148148</v>
      </c>
      <c r="C295" t="n">
        <v>0</v>
      </c>
      <c r="D295" t="n">
        <v>23449</v>
      </c>
      <c r="E295" t="s">
        <v>306</v>
      </c>
      <c r="F295" t="s"/>
      <c r="G295" t="s"/>
      <c r="H295" t="s"/>
      <c r="I295" t="s"/>
      <c r="J295" t="n">
        <v>0.7902</v>
      </c>
      <c r="K295" t="n">
        <v>0</v>
      </c>
      <c r="L295" t="n">
        <v>0.714</v>
      </c>
      <c r="M295" t="n">
        <v>0.286</v>
      </c>
    </row>
    <row r="296" spans="1:13">
      <c r="A296" s="1">
        <f>HYPERLINK("http://www.twitter.com/NathanBLawrence/status/998219076114812929", "998219076114812929")</f>
        <v/>
      </c>
      <c r="B296" s="2" t="n">
        <v>43240.63134259259</v>
      </c>
      <c r="C296" t="n">
        <v>0</v>
      </c>
      <c r="D296" t="n">
        <v>35761</v>
      </c>
      <c r="E296" t="s">
        <v>307</v>
      </c>
      <c r="F296" t="s"/>
      <c r="G296" t="s"/>
      <c r="H296" t="s"/>
      <c r="I296" t="s"/>
      <c r="J296" t="n">
        <v>0.4588</v>
      </c>
      <c r="K296" t="n">
        <v>0</v>
      </c>
      <c r="L296" t="n">
        <v>0.88</v>
      </c>
      <c r="M296" t="n">
        <v>0.12</v>
      </c>
    </row>
    <row r="297" spans="1:13">
      <c r="A297" s="1">
        <f>HYPERLINK("http://www.twitter.com/NathanBLawrence/status/998218932166299649", "998218932166299649")</f>
        <v/>
      </c>
      <c r="B297" s="2" t="n">
        <v>43240.63094907408</v>
      </c>
      <c r="C297" t="n">
        <v>0</v>
      </c>
      <c r="D297" t="n">
        <v>30540</v>
      </c>
      <c r="E297" t="s">
        <v>308</v>
      </c>
      <c r="F297" t="s"/>
      <c r="G297" t="s"/>
      <c r="H297" t="s"/>
      <c r="I297" t="s"/>
      <c r="J297" t="n">
        <v>0</v>
      </c>
      <c r="K297" t="n">
        <v>0</v>
      </c>
      <c r="L297" t="n">
        <v>1</v>
      </c>
      <c r="M297" t="n">
        <v>0</v>
      </c>
    </row>
    <row r="298" spans="1:13">
      <c r="A298" s="1">
        <f>HYPERLINK("http://www.twitter.com/NathanBLawrence/status/998218908418084864", "998218908418084864")</f>
        <v/>
      </c>
      <c r="B298" s="2" t="n">
        <v>43240.63087962963</v>
      </c>
      <c r="C298" t="n">
        <v>0</v>
      </c>
      <c r="D298" t="n">
        <v>26206</v>
      </c>
      <c r="E298" t="s">
        <v>309</v>
      </c>
      <c r="F298" t="s"/>
      <c r="G298" t="s"/>
      <c r="H298" t="s"/>
      <c r="I298" t="s"/>
      <c r="J298" t="n">
        <v>-0.7003</v>
      </c>
      <c r="K298" t="n">
        <v>0.225</v>
      </c>
      <c r="L298" t="n">
        <v>0.775</v>
      </c>
      <c r="M298" t="n">
        <v>0</v>
      </c>
    </row>
    <row r="299" spans="1:13">
      <c r="A299" s="1">
        <f>HYPERLINK("http://www.twitter.com/NathanBLawrence/status/998218895608696832", "998218895608696832")</f>
        <v/>
      </c>
      <c r="B299" s="2" t="n">
        <v>43240.63084490741</v>
      </c>
      <c r="C299" t="n">
        <v>0</v>
      </c>
      <c r="D299" t="n">
        <v>22453</v>
      </c>
      <c r="E299" t="s">
        <v>310</v>
      </c>
      <c r="F299" t="s"/>
      <c r="G299" t="s"/>
      <c r="H299" t="s"/>
      <c r="I299" t="s"/>
      <c r="J299" t="n">
        <v>-0.7251</v>
      </c>
      <c r="K299" t="n">
        <v>0.242</v>
      </c>
      <c r="L299" t="n">
        <v>0.758</v>
      </c>
      <c r="M299" t="n">
        <v>0</v>
      </c>
    </row>
    <row r="300" spans="1:13">
      <c r="A300" s="1">
        <f>HYPERLINK("http://www.twitter.com/NathanBLawrence/status/998218599297880065", "998218599297880065")</f>
        <v/>
      </c>
      <c r="B300" s="2" t="n">
        <v>43240.63002314815</v>
      </c>
      <c r="C300" t="n">
        <v>0</v>
      </c>
      <c r="D300" t="n">
        <v>23051</v>
      </c>
      <c r="E300" t="s">
        <v>311</v>
      </c>
      <c r="F300" t="s"/>
      <c r="G300" t="s"/>
      <c r="H300" t="s"/>
      <c r="I300" t="s"/>
      <c r="J300" t="n">
        <v>-0.0258</v>
      </c>
      <c r="K300" t="n">
        <v>0.08400000000000001</v>
      </c>
      <c r="L300" t="n">
        <v>0.836</v>
      </c>
      <c r="M300" t="n">
        <v>0.08</v>
      </c>
    </row>
    <row r="301" spans="1:13">
      <c r="A301" s="1">
        <f>HYPERLINK("http://www.twitter.com/NathanBLawrence/status/998218481194676225", "998218481194676225")</f>
        <v/>
      </c>
      <c r="B301" s="2" t="n">
        <v>43240.62969907407</v>
      </c>
      <c r="C301" t="n">
        <v>0</v>
      </c>
      <c r="D301" t="n">
        <v>29921</v>
      </c>
      <c r="E301" t="s">
        <v>312</v>
      </c>
      <c r="F301" t="s"/>
      <c r="G301" t="s"/>
      <c r="H301" t="s"/>
      <c r="I301" t="s"/>
      <c r="J301" t="n">
        <v>-0.6597</v>
      </c>
      <c r="K301" t="n">
        <v>0.278</v>
      </c>
      <c r="L301" t="n">
        <v>0.634</v>
      </c>
      <c r="M301" t="n">
        <v>0.08799999999999999</v>
      </c>
    </row>
    <row r="302" spans="1:13">
      <c r="A302" s="1">
        <f>HYPERLINK("http://www.twitter.com/NathanBLawrence/status/998218465109475328", "998218465109475328")</f>
        <v/>
      </c>
      <c r="B302" s="2" t="n">
        <v>43240.62965277778</v>
      </c>
      <c r="C302" t="n">
        <v>0</v>
      </c>
      <c r="D302" t="n">
        <v>31155</v>
      </c>
      <c r="E302" t="s">
        <v>313</v>
      </c>
      <c r="F302" t="s"/>
      <c r="G302" t="s"/>
      <c r="H302" t="s"/>
      <c r="I302" t="s"/>
      <c r="J302" t="n">
        <v>0</v>
      </c>
      <c r="K302" t="n">
        <v>0</v>
      </c>
      <c r="L302" t="n">
        <v>1</v>
      </c>
      <c r="M302" t="n">
        <v>0</v>
      </c>
    </row>
    <row r="303" spans="1:13">
      <c r="A303" s="1">
        <f>HYPERLINK("http://www.twitter.com/NathanBLawrence/status/998218250692505600", "998218250692505600")</f>
        <v/>
      </c>
      <c r="B303" s="2" t="n">
        <v>43240.6290625</v>
      </c>
      <c r="C303" t="n">
        <v>0</v>
      </c>
      <c r="D303" t="n">
        <v>672</v>
      </c>
      <c r="E303" t="s">
        <v>314</v>
      </c>
      <c r="F303" t="s"/>
      <c r="G303" t="s"/>
      <c r="H303" t="s"/>
      <c r="I303" t="s"/>
      <c r="J303" t="n">
        <v>0.7346</v>
      </c>
      <c r="K303" t="n">
        <v>0</v>
      </c>
      <c r="L303" t="n">
        <v>0.754</v>
      </c>
      <c r="M303" t="n">
        <v>0.246</v>
      </c>
    </row>
    <row r="304" spans="1:13">
      <c r="A304" s="1">
        <f>HYPERLINK("http://www.twitter.com/NathanBLawrence/status/998206089475821568", "998206089475821568")</f>
        <v/>
      </c>
      <c r="B304" s="2" t="n">
        <v>43240.59550925926</v>
      </c>
      <c r="C304" t="n">
        <v>0</v>
      </c>
      <c r="D304" t="n">
        <v>4</v>
      </c>
      <c r="E304" t="s">
        <v>315</v>
      </c>
      <c r="F304">
        <f>HYPERLINK("http://pbs.twimg.com/media/DdnNYTyUwAAsvLE.jpg", "http://pbs.twimg.com/media/DdnNYTyUwAAsvLE.jpg")</f>
        <v/>
      </c>
      <c r="G304" t="s"/>
      <c r="H304" t="s"/>
      <c r="I304" t="s"/>
      <c r="J304" t="n">
        <v>0.5266999999999999</v>
      </c>
      <c r="K304" t="n">
        <v>0</v>
      </c>
      <c r="L304" t="n">
        <v>0.855</v>
      </c>
      <c r="M304" t="n">
        <v>0.145</v>
      </c>
    </row>
    <row r="305" spans="1:13">
      <c r="A305" s="1">
        <f>HYPERLINK("http://www.twitter.com/NathanBLawrence/status/998205814644133888", "998205814644133888")</f>
        <v/>
      </c>
      <c r="B305" s="2" t="n">
        <v>43240.59474537037</v>
      </c>
      <c r="C305" t="n">
        <v>0</v>
      </c>
      <c r="D305" t="n">
        <v>10575</v>
      </c>
      <c r="E305" t="s">
        <v>316</v>
      </c>
      <c r="F305" t="s"/>
      <c r="G305" t="s"/>
      <c r="H305" t="s"/>
      <c r="I305" t="s"/>
      <c r="J305" t="n">
        <v>-0.4404</v>
      </c>
      <c r="K305" t="n">
        <v>0.127</v>
      </c>
      <c r="L305" t="n">
        <v>0.873</v>
      </c>
      <c r="M305" t="n">
        <v>0</v>
      </c>
    </row>
    <row r="306" spans="1:13">
      <c r="A306" s="1">
        <f>HYPERLINK("http://www.twitter.com/NathanBLawrence/status/998205779030302720", "998205779030302720")</f>
        <v/>
      </c>
      <c r="B306" s="2" t="n">
        <v>43240.59465277778</v>
      </c>
      <c r="C306" t="n">
        <v>0</v>
      </c>
      <c r="D306" t="n">
        <v>142</v>
      </c>
      <c r="E306" t="s">
        <v>317</v>
      </c>
      <c r="F306" t="s"/>
      <c r="G306" t="s"/>
      <c r="H306" t="s"/>
      <c r="I306" t="s"/>
      <c r="J306" t="n">
        <v>-0.6712</v>
      </c>
      <c r="K306" t="n">
        <v>0.231</v>
      </c>
      <c r="L306" t="n">
        <v>0.6840000000000001</v>
      </c>
      <c r="M306" t="n">
        <v>0.08400000000000001</v>
      </c>
    </row>
    <row r="307" spans="1:13">
      <c r="A307" s="1">
        <f>HYPERLINK("http://www.twitter.com/NathanBLawrence/status/998205679738478592", "998205679738478592")</f>
        <v/>
      </c>
      <c r="B307" s="2" t="n">
        <v>43240.594375</v>
      </c>
      <c r="C307" t="n">
        <v>0</v>
      </c>
      <c r="D307" t="n">
        <v>714</v>
      </c>
      <c r="E307" t="s">
        <v>318</v>
      </c>
      <c r="F307" t="s"/>
      <c r="G307" t="s"/>
      <c r="H307" t="s"/>
      <c r="I307" t="s"/>
      <c r="J307" t="n">
        <v>-0.0516</v>
      </c>
      <c r="K307" t="n">
        <v>0.099</v>
      </c>
      <c r="L307" t="n">
        <v>0.8100000000000001</v>
      </c>
      <c r="M307" t="n">
        <v>0.092</v>
      </c>
    </row>
    <row r="308" spans="1:13">
      <c r="A308" s="1">
        <f>HYPERLINK("http://www.twitter.com/NathanBLawrence/status/998205606099062784", "998205606099062784")</f>
        <v/>
      </c>
      <c r="B308" s="2" t="n">
        <v>43240.59416666667</v>
      </c>
      <c r="C308" t="n">
        <v>0</v>
      </c>
      <c r="D308" t="n">
        <v>2750</v>
      </c>
      <c r="E308" t="s">
        <v>319</v>
      </c>
      <c r="F308" t="s"/>
      <c r="G308" t="s"/>
      <c r="H308" t="s"/>
      <c r="I308" t="s"/>
      <c r="J308" t="n">
        <v>-0.34</v>
      </c>
      <c r="K308" t="n">
        <v>0.107</v>
      </c>
      <c r="L308" t="n">
        <v>0.893</v>
      </c>
      <c r="M308" t="n">
        <v>0</v>
      </c>
    </row>
    <row r="309" spans="1:13">
      <c r="A309" s="1">
        <f>HYPERLINK("http://www.twitter.com/NathanBLawrence/status/998205519096664064", "998205519096664064")</f>
        <v/>
      </c>
      <c r="B309" s="2" t="n">
        <v>43240.59393518518</v>
      </c>
      <c r="C309" t="n">
        <v>0</v>
      </c>
      <c r="D309" t="n">
        <v>592</v>
      </c>
      <c r="E309" t="s">
        <v>320</v>
      </c>
      <c r="F309" t="s"/>
      <c r="G309" t="s"/>
      <c r="H309" t="s"/>
      <c r="I309" t="s"/>
      <c r="J309" t="n">
        <v>-0.0173</v>
      </c>
      <c r="K309" t="n">
        <v>0.132</v>
      </c>
      <c r="L309" t="n">
        <v>0.738</v>
      </c>
      <c r="M309" t="n">
        <v>0.13</v>
      </c>
    </row>
    <row r="310" spans="1:13">
      <c r="A310" s="1">
        <f>HYPERLINK("http://www.twitter.com/NathanBLawrence/status/998205399374458880", "998205399374458880")</f>
        <v/>
      </c>
      <c r="B310" s="2" t="n">
        <v>43240.59359953704</v>
      </c>
      <c r="C310" t="n">
        <v>0</v>
      </c>
      <c r="D310" t="n">
        <v>131</v>
      </c>
      <c r="E310" t="s">
        <v>321</v>
      </c>
      <c r="F310" t="s"/>
      <c r="G310" t="s"/>
      <c r="H310" t="s"/>
      <c r="I310" t="s"/>
      <c r="J310" t="n">
        <v>0</v>
      </c>
      <c r="K310" t="n">
        <v>0.096</v>
      </c>
      <c r="L310" t="n">
        <v>0.8080000000000001</v>
      </c>
      <c r="M310" t="n">
        <v>0.096</v>
      </c>
    </row>
    <row r="311" spans="1:13">
      <c r="A311" s="1">
        <f>HYPERLINK("http://www.twitter.com/NathanBLawrence/status/998204978878734337", "998204978878734337")</f>
        <v/>
      </c>
      <c r="B311" s="2" t="n">
        <v>43240.59244212963</v>
      </c>
      <c r="C311" t="n">
        <v>0</v>
      </c>
      <c r="D311" t="n">
        <v>768</v>
      </c>
      <c r="E311" t="s">
        <v>322</v>
      </c>
      <c r="F311" t="s"/>
      <c r="G311" t="s"/>
      <c r="H311" t="s"/>
      <c r="I311" t="s"/>
      <c r="J311" t="n">
        <v>0</v>
      </c>
      <c r="K311" t="n">
        <v>0</v>
      </c>
      <c r="L311" t="n">
        <v>1</v>
      </c>
      <c r="M311" t="n">
        <v>0</v>
      </c>
    </row>
    <row r="312" spans="1:13">
      <c r="A312" s="1">
        <f>HYPERLINK("http://www.twitter.com/NathanBLawrence/status/998204810427068417", "998204810427068417")</f>
        <v/>
      </c>
      <c r="B312" s="2" t="n">
        <v>43240.59197916667</v>
      </c>
      <c r="C312" t="n">
        <v>0</v>
      </c>
      <c r="D312" t="n">
        <v>78</v>
      </c>
      <c r="E312" t="s">
        <v>323</v>
      </c>
      <c r="F312" t="s"/>
      <c r="G312" t="s"/>
      <c r="H312" t="s"/>
      <c r="I312" t="s"/>
      <c r="J312" t="n">
        <v>0.2105</v>
      </c>
      <c r="K312" t="n">
        <v>0.136</v>
      </c>
      <c r="L312" t="n">
        <v>0.733</v>
      </c>
      <c r="M312" t="n">
        <v>0.131</v>
      </c>
    </row>
    <row r="313" spans="1:13">
      <c r="A313" s="1">
        <f>HYPERLINK("http://www.twitter.com/NathanBLawrence/status/998204623973421056", "998204623973421056")</f>
        <v/>
      </c>
      <c r="B313" s="2" t="n">
        <v>43240.59145833334</v>
      </c>
      <c r="C313" t="n">
        <v>0</v>
      </c>
      <c r="D313" t="n">
        <v>196</v>
      </c>
      <c r="E313" t="s">
        <v>324</v>
      </c>
      <c r="F313" t="s"/>
      <c r="G313" t="s"/>
      <c r="H313" t="s"/>
      <c r="I313" t="s"/>
      <c r="J313" t="n">
        <v>0</v>
      </c>
      <c r="K313" t="n">
        <v>0</v>
      </c>
      <c r="L313" t="n">
        <v>1</v>
      </c>
      <c r="M313" t="n">
        <v>0</v>
      </c>
    </row>
    <row r="314" spans="1:13">
      <c r="A314" s="1">
        <f>HYPERLINK("http://www.twitter.com/NathanBLawrence/status/998203415556689922", "998203415556689922")</f>
        <v/>
      </c>
      <c r="B314" s="2" t="n">
        <v>43240.588125</v>
      </c>
      <c r="C314" t="n">
        <v>0</v>
      </c>
      <c r="D314" t="n">
        <v>6</v>
      </c>
      <c r="E314" t="s">
        <v>325</v>
      </c>
      <c r="F314" t="s"/>
      <c r="G314" t="s"/>
      <c r="H314" t="s"/>
      <c r="I314" t="s"/>
      <c r="J314" t="n">
        <v>-0.6597</v>
      </c>
      <c r="K314" t="n">
        <v>0.252</v>
      </c>
      <c r="L314" t="n">
        <v>0.748</v>
      </c>
      <c r="M314" t="n">
        <v>0</v>
      </c>
    </row>
    <row r="315" spans="1:13">
      <c r="A315" s="1">
        <f>HYPERLINK("http://www.twitter.com/NathanBLawrence/status/998203332731826176", "998203332731826176")</f>
        <v/>
      </c>
      <c r="B315" s="2" t="n">
        <v>43240.58789351852</v>
      </c>
      <c r="C315" t="n">
        <v>0</v>
      </c>
      <c r="D315" t="n">
        <v>1136</v>
      </c>
      <c r="E315" t="s">
        <v>326</v>
      </c>
      <c r="F315">
        <f>HYPERLINK("https://video.twimg.com/amplify_video/998011699394424832/vid/1280x720/MFD8T75A0fpqKA-4.mp4?tag=2", "https://video.twimg.com/amplify_video/998011699394424832/vid/1280x720/MFD8T75A0fpqKA-4.mp4?tag=2")</f>
        <v/>
      </c>
      <c r="G315" t="s"/>
      <c r="H315" t="s"/>
      <c r="I315" t="s"/>
      <c r="J315" t="n">
        <v>0</v>
      </c>
      <c r="K315" t="n">
        <v>0</v>
      </c>
      <c r="L315" t="n">
        <v>1</v>
      </c>
      <c r="M315" t="n">
        <v>0</v>
      </c>
    </row>
    <row r="316" spans="1:13">
      <c r="A316" s="1">
        <f>HYPERLINK("http://www.twitter.com/NathanBLawrence/status/998202505736736769", "998202505736736769")</f>
        <v/>
      </c>
      <c r="B316" s="2" t="n">
        <v>43240.58561342592</v>
      </c>
      <c r="C316" t="n">
        <v>0</v>
      </c>
      <c r="D316" t="n">
        <v>2634</v>
      </c>
      <c r="E316" t="s">
        <v>327</v>
      </c>
      <c r="F316" t="s"/>
      <c r="G316" t="s"/>
      <c r="H316" t="s"/>
      <c r="I316" t="s"/>
      <c r="J316" t="n">
        <v>-0.7003</v>
      </c>
      <c r="K316" t="n">
        <v>0.345</v>
      </c>
      <c r="L316" t="n">
        <v>0.655</v>
      </c>
      <c r="M316" t="n">
        <v>0</v>
      </c>
    </row>
    <row r="317" spans="1:13">
      <c r="A317" s="1">
        <f>HYPERLINK("http://www.twitter.com/NathanBLawrence/status/998072653993926656", "998072653993926656")</f>
        <v/>
      </c>
      <c r="B317" s="2" t="n">
        <v>43240.22729166667</v>
      </c>
      <c r="C317" t="n">
        <v>0</v>
      </c>
      <c r="D317" t="n">
        <v>261</v>
      </c>
      <c r="E317" t="s">
        <v>328</v>
      </c>
      <c r="F317">
        <f>HYPERLINK("http://pbs.twimg.com/media/Ddl2sffUQAEGbwv.jpg", "http://pbs.twimg.com/media/Ddl2sffUQAEGbwv.jpg")</f>
        <v/>
      </c>
      <c r="G317" t="s"/>
      <c r="H317" t="s"/>
      <c r="I317" t="s"/>
      <c r="J317" t="n">
        <v>-0.802</v>
      </c>
      <c r="K317" t="n">
        <v>0.238</v>
      </c>
      <c r="L317" t="n">
        <v>0.762</v>
      </c>
      <c r="M317" t="n">
        <v>0</v>
      </c>
    </row>
    <row r="318" spans="1:13">
      <c r="A318" s="1">
        <f>HYPERLINK("http://www.twitter.com/NathanBLawrence/status/998071931847966720", "998071931847966720")</f>
        <v/>
      </c>
      <c r="B318" s="2" t="n">
        <v>43240.22530092593</v>
      </c>
      <c r="C318" t="n">
        <v>0</v>
      </c>
      <c r="D318" t="n">
        <v>2061</v>
      </c>
      <c r="E318" t="s">
        <v>329</v>
      </c>
      <c r="F318">
        <f>HYPERLINK("http://pbs.twimg.com/media/Ddl1U-_VAAAqZbM.jpg", "http://pbs.twimg.com/media/Ddl1U-_VAAAqZbM.jpg")</f>
        <v/>
      </c>
      <c r="G318" t="s"/>
      <c r="H318" t="s"/>
      <c r="I318" t="s"/>
      <c r="J318" t="n">
        <v>0</v>
      </c>
      <c r="K318" t="n">
        <v>0</v>
      </c>
      <c r="L318" t="n">
        <v>1</v>
      </c>
      <c r="M318" t="n">
        <v>0</v>
      </c>
    </row>
    <row r="319" spans="1:13">
      <c r="A319" s="1">
        <f>HYPERLINK("http://www.twitter.com/NathanBLawrence/status/998071594340814848", "998071594340814848")</f>
        <v/>
      </c>
      <c r="B319" s="2" t="n">
        <v>43240.224375</v>
      </c>
      <c r="C319" t="n">
        <v>0</v>
      </c>
      <c r="D319" t="n">
        <v>4775</v>
      </c>
      <c r="E319" t="s">
        <v>330</v>
      </c>
      <c r="F319" t="s"/>
      <c r="G319" t="s"/>
      <c r="H319" t="s"/>
      <c r="I319" t="s"/>
      <c r="J319" t="n">
        <v>0.2263</v>
      </c>
      <c r="K319" t="n">
        <v>0.08699999999999999</v>
      </c>
      <c r="L319" t="n">
        <v>0.794</v>
      </c>
      <c r="M319" t="n">
        <v>0.119</v>
      </c>
    </row>
    <row r="320" spans="1:13">
      <c r="A320" s="1">
        <f>HYPERLINK("http://www.twitter.com/NathanBLawrence/status/998071380628393984", "998071380628393984")</f>
        <v/>
      </c>
      <c r="B320" s="2" t="n">
        <v>43240.22378472222</v>
      </c>
      <c r="C320" t="n">
        <v>0</v>
      </c>
      <c r="D320" t="n">
        <v>412</v>
      </c>
      <c r="E320" t="s">
        <v>331</v>
      </c>
      <c r="F320" t="s"/>
      <c r="G320" t="s"/>
      <c r="H320" t="s"/>
      <c r="I320" t="s"/>
      <c r="J320" t="n">
        <v>0</v>
      </c>
      <c r="K320" t="n">
        <v>0</v>
      </c>
      <c r="L320" t="n">
        <v>1</v>
      </c>
      <c r="M320" t="n">
        <v>0</v>
      </c>
    </row>
    <row r="321" spans="1:13">
      <c r="A321" s="1">
        <f>HYPERLINK("http://www.twitter.com/NathanBLawrence/status/998070949797924864", "998070949797924864")</f>
        <v/>
      </c>
      <c r="B321" s="2" t="n">
        <v>43240.2225925926</v>
      </c>
      <c r="C321" t="n">
        <v>0</v>
      </c>
      <c r="D321" t="n">
        <v>4454</v>
      </c>
      <c r="E321" t="s">
        <v>332</v>
      </c>
      <c r="F321" t="s"/>
      <c r="G321" t="s"/>
      <c r="H321" t="s"/>
      <c r="I321" t="s"/>
      <c r="J321" t="n">
        <v>-0.1531</v>
      </c>
      <c r="K321" t="n">
        <v>0.054</v>
      </c>
      <c r="L321" t="n">
        <v>0.946</v>
      </c>
      <c r="M321" t="n">
        <v>0</v>
      </c>
    </row>
    <row r="322" spans="1:13">
      <c r="A322" s="1">
        <f>HYPERLINK("http://www.twitter.com/NathanBLawrence/status/998070751889641472", "998070751889641472")</f>
        <v/>
      </c>
      <c r="B322" s="2" t="n">
        <v>43240.22204861111</v>
      </c>
      <c r="C322" t="n">
        <v>0</v>
      </c>
      <c r="D322" t="n">
        <v>5</v>
      </c>
      <c r="E322" t="s">
        <v>333</v>
      </c>
      <c r="F322" t="s"/>
      <c r="G322" t="s"/>
      <c r="H322" t="s"/>
      <c r="I322" t="s"/>
      <c r="J322" t="n">
        <v>0</v>
      </c>
      <c r="K322" t="n">
        <v>0</v>
      </c>
      <c r="L322" t="n">
        <v>1</v>
      </c>
      <c r="M322" t="n">
        <v>0</v>
      </c>
    </row>
    <row r="323" spans="1:13">
      <c r="A323" s="1">
        <f>HYPERLINK("http://www.twitter.com/NathanBLawrence/status/998070726715461632", "998070726715461632")</f>
        <v/>
      </c>
      <c r="B323" s="2" t="n">
        <v>43240.22197916666</v>
      </c>
      <c r="C323" t="n">
        <v>0</v>
      </c>
      <c r="D323" t="n">
        <v>8</v>
      </c>
      <c r="E323" t="s">
        <v>334</v>
      </c>
      <c r="F323" t="s"/>
      <c r="G323" t="s"/>
      <c r="H323" t="s"/>
      <c r="I323" t="s"/>
      <c r="J323" t="n">
        <v>0</v>
      </c>
      <c r="K323" t="n">
        <v>0</v>
      </c>
      <c r="L323" t="n">
        <v>1</v>
      </c>
      <c r="M323" t="n">
        <v>0</v>
      </c>
    </row>
    <row r="324" spans="1:13">
      <c r="A324" s="1">
        <f>HYPERLINK("http://www.twitter.com/NathanBLawrence/status/998070411261857793", "998070411261857793")</f>
        <v/>
      </c>
      <c r="B324" s="2" t="n">
        <v>43240.22109953704</v>
      </c>
      <c r="C324" t="n">
        <v>0</v>
      </c>
      <c r="D324" t="n">
        <v>335</v>
      </c>
      <c r="E324" t="s">
        <v>335</v>
      </c>
      <c r="F324" t="s"/>
      <c r="G324" t="s"/>
      <c r="H324" t="s"/>
      <c r="I324" t="s"/>
      <c r="J324" t="n">
        <v>-0.3444</v>
      </c>
      <c r="K324" t="n">
        <v>0.194</v>
      </c>
      <c r="L324" t="n">
        <v>0.6870000000000001</v>
      </c>
      <c r="M324" t="n">
        <v>0.119</v>
      </c>
    </row>
    <row r="325" spans="1:13">
      <c r="A325" s="1">
        <f>HYPERLINK("http://www.twitter.com/NathanBLawrence/status/998069734368251904", "998069734368251904")</f>
        <v/>
      </c>
      <c r="B325" s="2" t="n">
        <v>43240.21923611111</v>
      </c>
      <c r="C325" t="n">
        <v>0</v>
      </c>
      <c r="D325" t="n">
        <v>1145</v>
      </c>
      <c r="E325" t="s">
        <v>336</v>
      </c>
      <c r="F325" t="s"/>
      <c r="G325" t="s"/>
      <c r="H325" t="s"/>
      <c r="I325" t="s"/>
      <c r="J325" t="n">
        <v>0.5994</v>
      </c>
      <c r="K325" t="n">
        <v>0</v>
      </c>
      <c r="L325" t="n">
        <v>0.836</v>
      </c>
      <c r="M325" t="n">
        <v>0.164</v>
      </c>
    </row>
    <row r="326" spans="1:13">
      <c r="A326" s="1">
        <f>HYPERLINK("http://www.twitter.com/NathanBLawrence/status/998068944564080640", "998068944564080640")</f>
        <v/>
      </c>
      <c r="B326" s="2" t="n">
        <v>43240.21706018518</v>
      </c>
      <c r="C326" t="n">
        <v>0</v>
      </c>
      <c r="D326" t="n">
        <v>1</v>
      </c>
      <c r="E326" t="s">
        <v>337</v>
      </c>
      <c r="F326">
        <f>HYPERLINK("http://pbs.twimg.com/media/DdYqinUWAAARh5S.jpg", "http://pbs.twimg.com/media/DdYqinUWAAARh5S.jpg")</f>
        <v/>
      </c>
      <c r="G326" t="s"/>
      <c r="H326" t="s"/>
      <c r="I326" t="s"/>
      <c r="J326" t="n">
        <v>0</v>
      </c>
      <c r="K326" t="n">
        <v>0</v>
      </c>
      <c r="L326" t="n">
        <v>1</v>
      </c>
      <c r="M326" t="n">
        <v>0</v>
      </c>
    </row>
    <row r="327" spans="1:13">
      <c r="A327" s="1">
        <f>HYPERLINK("http://www.twitter.com/NathanBLawrence/status/998068881091629056", "998068881091629056")</f>
        <v/>
      </c>
      <c r="B327" s="2" t="n">
        <v>43240.21688657408</v>
      </c>
      <c r="C327" t="n">
        <v>0</v>
      </c>
      <c r="D327" t="n">
        <v>2</v>
      </c>
      <c r="E327" t="s">
        <v>338</v>
      </c>
      <c r="F327" t="s"/>
      <c r="G327" t="s"/>
      <c r="H327" t="s"/>
      <c r="I327" t="s"/>
      <c r="J327" t="n">
        <v>0.3612</v>
      </c>
      <c r="K327" t="n">
        <v>0</v>
      </c>
      <c r="L327" t="n">
        <v>0.884</v>
      </c>
      <c r="M327" t="n">
        <v>0.116</v>
      </c>
    </row>
    <row r="328" spans="1:13">
      <c r="A328" s="1">
        <f>HYPERLINK("http://www.twitter.com/NathanBLawrence/status/998068749407260673", "998068749407260673")</f>
        <v/>
      </c>
      <c r="B328" s="2" t="n">
        <v>43240.21651620371</v>
      </c>
      <c r="C328" t="n">
        <v>0</v>
      </c>
      <c r="D328" t="n">
        <v>2</v>
      </c>
      <c r="E328" t="s">
        <v>339</v>
      </c>
      <c r="F328" t="s"/>
      <c r="G328" t="s"/>
      <c r="H328" t="s"/>
      <c r="I328" t="s"/>
      <c r="J328" t="n">
        <v>-0.1531</v>
      </c>
      <c r="K328" t="n">
        <v>0.133</v>
      </c>
      <c r="L328" t="n">
        <v>0.758</v>
      </c>
      <c r="M328" t="n">
        <v>0.11</v>
      </c>
    </row>
    <row r="329" spans="1:13">
      <c r="A329" s="1">
        <f>HYPERLINK("http://www.twitter.com/NathanBLawrence/status/998068598970241024", "998068598970241024")</f>
        <v/>
      </c>
      <c r="B329" s="2" t="n">
        <v>43240.21609953704</v>
      </c>
      <c r="C329" t="n">
        <v>0</v>
      </c>
      <c r="D329" t="n">
        <v>3</v>
      </c>
      <c r="E329" t="s">
        <v>340</v>
      </c>
      <c r="F329" t="s"/>
      <c r="G329" t="s"/>
      <c r="H329" t="s"/>
      <c r="I329" t="s"/>
      <c r="J329" t="n">
        <v>0</v>
      </c>
      <c r="K329" t="n">
        <v>0</v>
      </c>
      <c r="L329" t="n">
        <v>1</v>
      </c>
      <c r="M329" t="n">
        <v>0</v>
      </c>
    </row>
    <row r="330" spans="1:13">
      <c r="A330" s="1">
        <f>HYPERLINK("http://www.twitter.com/NathanBLawrence/status/998068450034638848", "998068450034638848")</f>
        <v/>
      </c>
      <c r="B330" s="2" t="n">
        <v>43240.21569444444</v>
      </c>
      <c r="C330" t="n">
        <v>0</v>
      </c>
      <c r="D330" t="n">
        <v>6</v>
      </c>
      <c r="E330" t="s">
        <v>341</v>
      </c>
      <c r="F330">
        <f>HYPERLINK("http://pbs.twimg.com/media/DdXmLVPVQAAvBqe.jpg", "http://pbs.twimg.com/media/DdXmLVPVQAAvBqe.jpg")</f>
        <v/>
      </c>
      <c r="G330" t="s"/>
      <c r="H330" t="s"/>
      <c r="I330" t="s"/>
      <c r="J330" t="n">
        <v>0</v>
      </c>
      <c r="K330" t="n">
        <v>0</v>
      </c>
      <c r="L330" t="n">
        <v>1</v>
      </c>
      <c r="M330" t="n">
        <v>0</v>
      </c>
    </row>
    <row r="331" spans="1:13">
      <c r="A331" s="1">
        <f>HYPERLINK("http://www.twitter.com/NathanBLawrence/status/998067939122274304", "998067939122274304")</f>
        <v/>
      </c>
      <c r="B331" s="2" t="n">
        <v>43240.21428240741</v>
      </c>
      <c r="C331" t="n">
        <v>0</v>
      </c>
      <c r="D331" t="n">
        <v>2</v>
      </c>
      <c r="E331" t="s">
        <v>342</v>
      </c>
      <c r="F331" t="s"/>
      <c r="G331" t="s"/>
      <c r="H331" t="s"/>
      <c r="I331" t="s"/>
      <c r="J331" t="n">
        <v>0</v>
      </c>
      <c r="K331" t="n">
        <v>0</v>
      </c>
      <c r="L331" t="n">
        <v>1</v>
      </c>
      <c r="M331" t="n">
        <v>0</v>
      </c>
    </row>
    <row r="332" spans="1:13">
      <c r="A332" s="1">
        <f>HYPERLINK("http://www.twitter.com/NathanBLawrence/status/998067847053152256", "998067847053152256")</f>
        <v/>
      </c>
      <c r="B332" s="2" t="n">
        <v>43240.21402777778</v>
      </c>
      <c r="C332" t="n">
        <v>0</v>
      </c>
      <c r="D332" t="n">
        <v>5</v>
      </c>
      <c r="E332" t="s">
        <v>343</v>
      </c>
      <c r="F332" t="s"/>
      <c r="G332" t="s"/>
      <c r="H332" t="s"/>
      <c r="I332" t="s"/>
      <c r="J332" t="n">
        <v>0</v>
      </c>
      <c r="K332" t="n">
        <v>0</v>
      </c>
      <c r="L332" t="n">
        <v>1</v>
      </c>
      <c r="M332" t="n">
        <v>0</v>
      </c>
    </row>
    <row r="333" spans="1:13">
      <c r="A333" s="1">
        <f>HYPERLINK("http://www.twitter.com/NathanBLawrence/status/998067811422494720", "998067811422494720")</f>
        <v/>
      </c>
      <c r="B333" s="2" t="n">
        <v>43240.21393518519</v>
      </c>
      <c r="C333" t="n">
        <v>0</v>
      </c>
      <c r="D333" t="n">
        <v>37</v>
      </c>
      <c r="E333" t="s">
        <v>344</v>
      </c>
      <c r="F333">
        <f>HYPERLINK("http://pbs.twimg.com/media/DdXNHd7VMAEO5bP.jpg", "http://pbs.twimg.com/media/DdXNHd7VMAEO5bP.jpg")</f>
        <v/>
      </c>
      <c r="G333" t="s"/>
      <c r="H333" t="s"/>
      <c r="I333" t="s"/>
      <c r="J333" t="n">
        <v>0</v>
      </c>
      <c r="K333" t="n">
        <v>0</v>
      </c>
      <c r="L333" t="n">
        <v>1</v>
      </c>
      <c r="M333" t="n">
        <v>0</v>
      </c>
    </row>
    <row r="334" spans="1:13">
      <c r="A334" s="1">
        <f>HYPERLINK("http://www.twitter.com/NathanBLawrence/status/998067428490964994", "998067428490964994")</f>
        <v/>
      </c>
      <c r="B334" s="2" t="n">
        <v>43240.21287037037</v>
      </c>
      <c r="C334" t="n">
        <v>0</v>
      </c>
      <c r="D334" t="n">
        <v>9</v>
      </c>
      <c r="E334" t="s">
        <v>345</v>
      </c>
      <c r="F334" t="s"/>
      <c r="G334" t="s"/>
      <c r="H334" t="s"/>
      <c r="I334" t="s"/>
      <c r="J334" t="n">
        <v>0</v>
      </c>
      <c r="K334" t="n">
        <v>0</v>
      </c>
      <c r="L334" t="n">
        <v>1</v>
      </c>
      <c r="M334" t="n">
        <v>0</v>
      </c>
    </row>
    <row r="335" spans="1:13">
      <c r="A335" s="1">
        <f>HYPERLINK("http://www.twitter.com/NathanBLawrence/status/998060177512255490", "998060177512255490")</f>
        <v/>
      </c>
      <c r="B335" s="2" t="n">
        <v>43240.19287037037</v>
      </c>
      <c r="C335" t="n">
        <v>0</v>
      </c>
      <c r="D335" t="n">
        <v>2</v>
      </c>
      <c r="E335" t="s">
        <v>346</v>
      </c>
      <c r="F335" t="s"/>
      <c r="G335" t="s"/>
      <c r="H335" t="s"/>
      <c r="I335" t="s"/>
      <c r="J335" t="n">
        <v>-0.4939</v>
      </c>
      <c r="K335" t="n">
        <v>0.23</v>
      </c>
      <c r="L335" t="n">
        <v>0.664</v>
      </c>
      <c r="M335" t="n">
        <v>0.105</v>
      </c>
    </row>
    <row r="336" spans="1:13">
      <c r="A336" s="1">
        <f>HYPERLINK("http://www.twitter.com/NathanBLawrence/status/998056579504029696", "998056579504029696")</f>
        <v/>
      </c>
      <c r="B336" s="2" t="n">
        <v>43240.18293981482</v>
      </c>
      <c r="C336" t="n">
        <v>0</v>
      </c>
      <c r="D336" t="n">
        <v>22</v>
      </c>
      <c r="E336" t="s">
        <v>347</v>
      </c>
      <c r="F336">
        <f>HYPERLINK("http://pbs.twimg.com/media/DdnKggXU0AIkJrN.jpg", "http://pbs.twimg.com/media/DdnKggXU0AIkJrN.jpg")</f>
        <v/>
      </c>
      <c r="G336" t="s"/>
      <c r="H336" t="s"/>
      <c r="I336" t="s"/>
      <c r="J336" t="n">
        <v>-0.6124000000000001</v>
      </c>
      <c r="K336" t="n">
        <v>0.248</v>
      </c>
      <c r="L336" t="n">
        <v>0.647</v>
      </c>
      <c r="M336" t="n">
        <v>0.104</v>
      </c>
    </row>
    <row r="337" spans="1:13">
      <c r="A337" s="1">
        <f>HYPERLINK("http://www.twitter.com/NathanBLawrence/status/998056279305154566", "998056279305154566")</f>
        <v/>
      </c>
      <c r="B337" s="2" t="n">
        <v>43240.18210648148</v>
      </c>
      <c r="C337" t="n">
        <v>0</v>
      </c>
      <c r="D337" t="n">
        <v>27</v>
      </c>
      <c r="E337" t="s">
        <v>348</v>
      </c>
      <c r="F337">
        <f>HYPERLINK("http://pbs.twimg.com/media/DdnJwjCVQAAXKjJ.jpg", "http://pbs.twimg.com/media/DdnJwjCVQAAXKjJ.jpg")</f>
        <v/>
      </c>
      <c r="G337" t="s"/>
      <c r="H337" t="s"/>
      <c r="I337" t="s"/>
      <c r="J337" t="n">
        <v>0</v>
      </c>
      <c r="K337" t="n">
        <v>0</v>
      </c>
      <c r="L337" t="n">
        <v>1</v>
      </c>
      <c r="M337" t="n">
        <v>0</v>
      </c>
    </row>
    <row r="338" spans="1:13">
      <c r="A338" s="1">
        <f>HYPERLINK("http://www.twitter.com/NathanBLawrence/status/998050166585241600", "998050166585241600")</f>
        <v/>
      </c>
      <c r="B338" s="2" t="n">
        <v>43240.16524305556</v>
      </c>
      <c r="C338" t="n">
        <v>0</v>
      </c>
      <c r="D338" t="n">
        <v>7</v>
      </c>
      <c r="E338" t="s">
        <v>349</v>
      </c>
      <c r="F338" t="s"/>
      <c r="G338" t="s"/>
      <c r="H338" t="s"/>
      <c r="I338" t="s"/>
      <c r="J338" t="n">
        <v>0.1007</v>
      </c>
      <c r="K338" t="n">
        <v>0.097</v>
      </c>
      <c r="L338" t="n">
        <v>0.792</v>
      </c>
      <c r="M338" t="n">
        <v>0.111</v>
      </c>
    </row>
    <row r="339" spans="1:13">
      <c r="A339" s="1">
        <f>HYPERLINK("http://www.twitter.com/NathanBLawrence/status/998050148897832961", "998050148897832961")</f>
        <v/>
      </c>
      <c r="B339" s="2" t="n">
        <v>43240.16519675926</v>
      </c>
      <c r="C339" t="n">
        <v>0</v>
      </c>
      <c r="D339" t="n">
        <v>11</v>
      </c>
      <c r="E339" t="s">
        <v>350</v>
      </c>
      <c r="F339" t="s"/>
      <c r="G339" t="s"/>
      <c r="H339" t="s"/>
      <c r="I339" t="s"/>
      <c r="J339" t="n">
        <v>0.4939</v>
      </c>
      <c r="K339" t="n">
        <v>0</v>
      </c>
      <c r="L339" t="n">
        <v>0.856</v>
      </c>
      <c r="M339" t="n">
        <v>0.144</v>
      </c>
    </row>
    <row r="340" spans="1:13">
      <c r="A340" s="1">
        <f>HYPERLINK("http://www.twitter.com/NathanBLawrence/status/998049901387759616", "998049901387759616")</f>
        <v/>
      </c>
      <c r="B340" s="2" t="n">
        <v>43240.16451388889</v>
      </c>
      <c r="C340" t="n">
        <v>1</v>
      </c>
      <c r="D340" t="n">
        <v>2</v>
      </c>
      <c r="E340" t="s">
        <v>351</v>
      </c>
      <c r="F340" t="s"/>
      <c r="G340" t="s"/>
      <c r="H340" t="s"/>
      <c r="I340" t="s"/>
      <c r="J340" t="n">
        <v>-0.308</v>
      </c>
      <c r="K340" t="n">
        <v>0.075</v>
      </c>
      <c r="L340" t="n">
        <v>0.925</v>
      </c>
      <c r="M340" t="n">
        <v>0</v>
      </c>
    </row>
    <row r="341" spans="1:13">
      <c r="A341" s="1">
        <f>HYPERLINK("http://www.twitter.com/NathanBLawrence/status/998048300707151872", "998048300707151872")</f>
        <v/>
      </c>
      <c r="B341" s="2" t="n">
        <v>43240.1600925926</v>
      </c>
      <c r="C341" t="n">
        <v>2</v>
      </c>
      <c r="D341" t="n">
        <v>1</v>
      </c>
      <c r="E341" t="s">
        <v>352</v>
      </c>
      <c r="F341" t="s"/>
      <c r="G341" t="s"/>
      <c r="H341" t="s"/>
      <c r="I341" t="s"/>
      <c r="J341" t="n">
        <v>-0.5859</v>
      </c>
      <c r="K341" t="n">
        <v>0.241</v>
      </c>
      <c r="L341" t="n">
        <v>0.759</v>
      </c>
      <c r="M341" t="n">
        <v>0</v>
      </c>
    </row>
    <row r="342" spans="1:13">
      <c r="A342" s="1">
        <f>HYPERLINK("http://www.twitter.com/NathanBLawrence/status/997975757908410368", "997975757908410368")</f>
        <v/>
      </c>
      <c r="B342" s="2" t="n">
        <v>43239.95990740741</v>
      </c>
      <c r="C342" t="n">
        <v>2</v>
      </c>
      <c r="D342" t="n">
        <v>2</v>
      </c>
      <c r="E342" t="s">
        <v>353</v>
      </c>
      <c r="F342" t="s"/>
      <c r="G342" t="s"/>
      <c r="H342" t="s"/>
      <c r="I342" t="s"/>
      <c r="J342" t="n">
        <v>-0.1027</v>
      </c>
      <c r="K342" t="n">
        <v>0.041</v>
      </c>
      <c r="L342" t="n">
        <v>0.959</v>
      </c>
      <c r="M342" t="n">
        <v>0</v>
      </c>
    </row>
    <row r="343" spans="1:13">
      <c r="A343" s="1">
        <f>HYPERLINK("http://www.twitter.com/NathanBLawrence/status/997943903524278272", "997943903524278272")</f>
        <v/>
      </c>
      <c r="B343" s="2" t="n">
        <v>43239.87201388889</v>
      </c>
      <c r="C343" t="n">
        <v>0</v>
      </c>
      <c r="D343" t="n">
        <v>0</v>
      </c>
      <c r="E343" t="s">
        <v>354</v>
      </c>
      <c r="F343" t="s"/>
      <c r="G343" t="s"/>
      <c r="H343" t="s"/>
      <c r="I343" t="s"/>
      <c r="J343" t="n">
        <v>0</v>
      </c>
      <c r="K343" t="n">
        <v>0</v>
      </c>
      <c r="L343" t="n">
        <v>1</v>
      </c>
      <c r="M343" t="n">
        <v>0</v>
      </c>
    </row>
    <row r="344" spans="1:13">
      <c r="A344" s="1">
        <f>HYPERLINK("http://www.twitter.com/NathanBLawrence/status/997943188525477888", "997943188525477888")</f>
        <v/>
      </c>
      <c r="B344" s="2" t="n">
        <v>43239.87003472223</v>
      </c>
      <c r="C344" t="n">
        <v>0</v>
      </c>
      <c r="D344" t="n">
        <v>0</v>
      </c>
      <c r="E344" t="s">
        <v>355</v>
      </c>
      <c r="F344" t="s"/>
      <c r="G344" t="s"/>
      <c r="H344" t="s"/>
      <c r="I344" t="s"/>
      <c r="J344" t="n">
        <v>-0.8169</v>
      </c>
      <c r="K344" t="n">
        <v>0.23</v>
      </c>
      <c r="L344" t="n">
        <v>0.77</v>
      </c>
      <c r="M344" t="n">
        <v>0</v>
      </c>
    </row>
    <row r="345" spans="1:13">
      <c r="A345" s="1">
        <f>HYPERLINK("http://www.twitter.com/NathanBLawrence/status/997853024088244225", "997853024088244225")</f>
        <v/>
      </c>
      <c r="B345" s="2" t="n">
        <v>43239.62122685185</v>
      </c>
      <c r="C345" t="n">
        <v>0</v>
      </c>
      <c r="D345" t="n">
        <v>103</v>
      </c>
      <c r="E345" t="s">
        <v>356</v>
      </c>
      <c r="F345" t="s"/>
      <c r="G345" t="s"/>
      <c r="H345" t="s"/>
      <c r="I345" t="s"/>
      <c r="J345" t="n">
        <v>-0.1779</v>
      </c>
      <c r="K345" t="n">
        <v>0.132</v>
      </c>
      <c r="L345" t="n">
        <v>0.766</v>
      </c>
      <c r="M345" t="n">
        <v>0.102</v>
      </c>
    </row>
    <row r="346" spans="1:13">
      <c r="A346" s="1">
        <f>HYPERLINK("http://www.twitter.com/NathanBLawrence/status/997739102140321792", "997739102140321792")</f>
        <v/>
      </c>
      <c r="B346" s="2" t="n">
        <v>43239.30686342593</v>
      </c>
      <c r="C346" t="n">
        <v>0</v>
      </c>
      <c r="D346" t="n">
        <v>15000</v>
      </c>
      <c r="E346" t="s">
        <v>357</v>
      </c>
      <c r="F346" t="s"/>
      <c r="G346" t="s"/>
      <c r="H346" t="s"/>
      <c r="I346" t="s"/>
      <c r="J346" t="n">
        <v>0.6369</v>
      </c>
      <c r="K346" t="n">
        <v>0</v>
      </c>
      <c r="L346" t="n">
        <v>0.488</v>
      </c>
      <c r="M346" t="n">
        <v>0.512</v>
      </c>
    </row>
    <row r="347" spans="1:13">
      <c r="A347" s="1">
        <f>HYPERLINK("http://www.twitter.com/NathanBLawrence/status/997738503017463808", "997738503017463808")</f>
        <v/>
      </c>
      <c r="B347" s="2" t="n">
        <v>43239.30520833333</v>
      </c>
      <c r="C347" t="n">
        <v>0</v>
      </c>
      <c r="D347" t="n">
        <v>36</v>
      </c>
      <c r="E347" t="s">
        <v>358</v>
      </c>
      <c r="F347" t="s"/>
      <c r="G347" t="s"/>
      <c r="H347" t="s"/>
      <c r="I347" t="s"/>
      <c r="J347" t="n">
        <v>0</v>
      </c>
      <c r="K347" t="n">
        <v>0</v>
      </c>
      <c r="L347" t="n">
        <v>1</v>
      </c>
      <c r="M347" t="n">
        <v>0</v>
      </c>
    </row>
    <row r="348" spans="1:13">
      <c r="A348" s="1">
        <f>HYPERLINK("http://www.twitter.com/NathanBLawrence/status/997724195906904064", "997724195906904064")</f>
        <v/>
      </c>
      <c r="B348" s="2" t="n">
        <v>43239.26572916667</v>
      </c>
      <c r="C348" t="n">
        <v>0</v>
      </c>
      <c r="D348" t="n">
        <v>3</v>
      </c>
      <c r="E348" t="s">
        <v>359</v>
      </c>
      <c r="F348" t="s"/>
      <c r="G348" t="s"/>
      <c r="H348" t="s"/>
      <c r="I348" t="s"/>
      <c r="J348" t="n">
        <v>0</v>
      </c>
      <c r="K348" t="n">
        <v>0</v>
      </c>
      <c r="L348" t="n">
        <v>1</v>
      </c>
      <c r="M348" t="n">
        <v>0</v>
      </c>
    </row>
    <row r="349" spans="1:13">
      <c r="A349" s="1">
        <f>HYPERLINK("http://www.twitter.com/NathanBLawrence/status/997716681312096256", "997716681312096256")</f>
        <v/>
      </c>
      <c r="B349" s="2" t="n">
        <v>43239.245</v>
      </c>
      <c r="C349" t="n">
        <v>0</v>
      </c>
      <c r="D349" t="n">
        <v>20029</v>
      </c>
      <c r="E349" t="s">
        <v>360</v>
      </c>
      <c r="F349" t="s"/>
      <c r="G349" t="s"/>
      <c r="H349" t="s"/>
      <c r="I349" t="s"/>
      <c r="J349" t="n">
        <v>0.926</v>
      </c>
      <c r="K349" t="n">
        <v>0</v>
      </c>
      <c r="L349" t="n">
        <v>0.508</v>
      </c>
      <c r="M349" t="n">
        <v>0.492</v>
      </c>
    </row>
    <row r="350" spans="1:13">
      <c r="A350" s="1">
        <f>HYPERLINK("http://www.twitter.com/NathanBLawrence/status/997716581890260992", "997716581890260992")</f>
        <v/>
      </c>
      <c r="B350" s="2" t="n">
        <v>43239.24472222223</v>
      </c>
      <c r="C350" t="n">
        <v>0</v>
      </c>
      <c r="D350" t="n">
        <v>24546</v>
      </c>
      <c r="E350" t="s">
        <v>361</v>
      </c>
      <c r="F350" t="s"/>
      <c r="G350" t="s"/>
      <c r="H350" t="s"/>
      <c r="I350" t="s"/>
      <c r="J350" t="n">
        <v>-0.1027</v>
      </c>
      <c r="K350" t="n">
        <v>0.207</v>
      </c>
      <c r="L350" t="n">
        <v>0.639</v>
      </c>
      <c r="M350" t="n">
        <v>0.154</v>
      </c>
    </row>
    <row r="351" spans="1:13">
      <c r="A351" s="1">
        <f>HYPERLINK("http://www.twitter.com/NathanBLawrence/status/997716470422491136", "997716470422491136")</f>
        <v/>
      </c>
      <c r="B351" s="2" t="n">
        <v>43239.24440972223</v>
      </c>
      <c r="C351" t="n">
        <v>0</v>
      </c>
      <c r="D351" t="n">
        <v>10775</v>
      </c>
      <c r="E351" t="s">
        <v>362</v>
      </c>
      <c r="F351">
        <f>HYPERLINK("http://pbs.twimg.com/media/DdgbzxVWsAAPzBL.jpg", "http://pbs.twimg.com/media/DdgbzxVWsAAPzBL.jpg")</f>
        <v/>
      </c>
      <c r="G351" t="s"/>
      <c r="H351" t="s"/>
      <c r="I351" t="s"/>
      <c r="J351" t="n">
        <v>0.7579</v>
      </c>
      <c r="K351" t="n">
        <v>0.053</v>
      </c>
      <c r="L351" t="n">
        <v>0.6840000000000001</v>
      </c>
      <c r="M351" t="n">
        <v>0.262</v>
      </c>
    </row>
    <row r="352" spans="1:13">
      <c r="A352" s="1">
        <f>HYPERLINK("http://www.twitter.com/NathanBLawrence/status/997716335076544512", "997716335076544512")</f>
        <v/>
      </c>
      <c r="B352" s="2" t="n">
        <v>43239.24403935186</v>
      </c>
      <c r="C352" t="n">
        <v>0</v>
      </c>
      <c r="D352" t="n">
        <v>14170</v>
      </c>
      <c r="E352" t="s">
        <v>363</v>
      </c>
      <c r="F352">
        <f>HYPERLINK("https://video.twimg.com/ext_tw_video/997572899115622402/pu/vid/1280x720/_GH_SZD_BEMwNbke.mp4?tag=3", "https://video.twimg.com/ext_tw_video/997572899115622402/pu/vid/1280x720/_GH_SZD_BEMwNbke.mp4?tag=3")</f>
        <v/>
      </c>
      <c r="G352" t="s"/>
      <c r="H352" t="s"/>
      <c r="I352" t="s"/>
      <c r="J352" t="n">
        <v>0.2023</v>
      </c>
      <c r="K352" t="n">
        <v>0</v>
      </c>
      <c r="L352" t="n">
        <v>0.917</v>
      </c>
      <c r="M352" t="n">
        <v>0.083</v>
      </c>
    </row>
    <row r="353" spans="1:13">
      <c r="A353" s="1">
        <f>HYPERLINK("http://www.twitter.com/NathanBLawrence/status/997716219670220800", "997716219670220800")</f>
        <v/>
      </c>
      <c r="B353" s="2" t="n">
        <v>43239.24372685186</v>
      </c>
      <c r="C353" t="n">
        <v>0</v>
      </c>
      <c r="D353" t="n">
        <v>8119</v>
      </c>
      <c r="E353" t="s">
        <v>364</v>
      </c>
      <c r="F353" t="s"/>
      <c r="G353" t="s"/>
      <c r="H353" t="s"/>
      <c r="I353" t="s"/>
      <c r="J353" t="n">
        <v>0</v>
      </c>
      <c r="K353" t="n">
        <v>0</v>
      </c>
      <c r="L353" t="n">
        <v>1</v>
      </c>
      <c r="M353" t="n">
        <v>0</v>
      </c>
    </row>
    <row r="354" spans="1:13">
      <c r="A354" s="1">
        <f>HYPERLINK("http://www.twitter.com/NathanBLawrence/status/997716075000356864", "997716075000356864")</f>
        <v/>
      </c>
      <c r="B354" s="2" t="n">
        <v>43239.24332175926</v>
      </c>
      <c r="C354" t="n">
        <v>0</v>
      </c>
      <c r="D354" t="n">
        <v>17692</v>
      </c>
      <c r="E354" t="s">
        <v>365</v>
      </c>
      <c r="F354">
        <f>HYPERLINK("https://video.twimg.com/ext_tw_video/997515433052782592/pu/vid/1280x720/kwZGuEmzbU7629sF.mp4?tag=3", "https://video.twimg.com/ext_tw_video/997515433052782592/pu/vid/1280x720/kwZGuEmzbU7629sF.mp4?tag=3")</f>
        <v/>
      </c>
      <c r="G354" t="s"/>
      <c r="H354" t="s"/>
      <c r="I354" t="s"/>
      <c r="J354" t="n">
        <v>-0.8074</v>
      </c>
      <c r="K354" t="n">
        <v>0.414</v>
      </c>
      <c r="L354" t="n">
        <v>0.409</v>
      </c>
      <c r="M354" t="n">
        <v>0.176</v>
      </c>
    </row>
    <row r="355" spans="1:13">
      <c r="A355" s="1">
        <f>HYPERLINK("http://www.twitter.com/NathanBLawrence/status/997715974773198848", "997715974773198848")</f>
        <v/>
      </c>
      <c r="B355" s="2" t="n">
        <v>43239.24304398148</v>
      </c>
      <c r="C355" t="n">
        <v>0</v>
      </c>
      <c r="D355" t="n">
        <v>17595</v>
      </c>
      <c r="E355" t="s">
        <v>366</v>
      </c>
      <c r="F355" t="s"/>
      <c r="G355" t="s"/>
      <c r="H355" t="s"/>
      <c r="I355" t="s"/>
      <c r="J355" t="n">
        <v>-0.1808</v>
      </c>
      <c r="K355" t="n">
        <v>0.246</v>
      </c>
      <c r="L355" t="n">
        <v>0.601</v>
      </c>
      <c r="M355" t="n">
        <v>0.153</v>
      </c>
    </row>
    <row r="356" spans="1:13">
      <c r="A356" s="1">
        <f>HYPERLINK("http://www.twitter.com/NathanBLawrence/status/997715950806892544", "997715950806892544")</f>
        <v/>
      </c>
      <c r="B356" s="2" t="n">
        <v>43239.24297453704</v>
      </c>
      <c r="C356" t="n">
        <v>0</v>
      </c>
      <c r="D356" t="n">
        <v>26915</v>
      </c>
      <c r="E356" t="s">
        <v>367</v>
      </c>
      <c r="F356" t="s"/>
      <c r="G356" t="s"/>
      <c r="H356" t="s"/>
      <c r="I356" t="s"/>
      <c r="J356" t="n">
        <v>0</v>
      </c>
      <c r="K356" t="n">
        <v>0</v>
      </c>
      <c r="L356" t="n">
        <v>1</v>
      </c>
      <c r="M356" t="n">
        <v>0</v>
      </c>
    </row>
    <row r="357" spans="1:13">
      <c r="A357" s="1">
        <f>HYPERLINK("http://www.twitter.com/NathanBLawrence/status/997715790005710848", "997715790005710848")</f>
        <v/>
      </c>
      <c r="B357" s="2" t="n">
        <v>43239.24253472222</v>
      </c>
      <c r="C357" t="n">
        <v>0</v>
      </c>
      <c r="D357" t="n">
        <v>23938</v>
      </c>
      <c r="E357" t="s">
        <v>368</v>
      </c>
      <c r="F357" t="s"/>
      <c r="G357" t="s"/>
      <c r="H357" t="s"/>
      <c r="I357" t="s"/>
      <c r="J357" t="n">
        <v>-0.4588</v>
      </c>
      <c r="K357" t="n">
        <v>0.143</v>
      </c>
      <c r="L357" t="n">
        <v>0.857</v>
      </c>
      <c r="M357" t="n">
        <v>0</v>
      </c>
    </row>
    <row r="358" spans="1:13">
      <c r="A358" s="1">
        <f>HYPERLINK("http://www.twitter.com/NathanBLawrence/status/997715645650391040", "997715645650391040")</f>
        <v/>
      </c>
      <c r="B358" s="2" t="n">
        <v>43239.2421412037</v>
      </c>
      <c r="C358" t="n">
        <v>0</v>
      </c>
      <c r="D358" t="n">
        <v>43139</v>
      </c>
      <c r="E358" t="s">
        <v>369</v>
      </c>
      <c r="F358" t="s"/>
      <c r="G358" t="s"/>
      <c r="H358" t="s"/>
      <c r="I358" t="s"/>
      <c r="J358" t="n">
        <v>-0.92</v>
      </c>
      <c r="K358" t="n">
        <v>0.45</v>
      </c>
      <c r="L358" t="n">
        <v>0.55</v>
      </c>
      <c r="M358" t="n">
        <v>0</v>
      </c>
    </row>
    <row r="359" spans="1:13">
      <c r="A359" s="1">
        <f>HYPERLINK("http://www.twitter.com/NathanBLawrence/status/997715482533941248", "997715482533941248")</f>
        <v/>
      </c>
      <c r="B359" s="2" t="n">
        <v>43239.24168981481</v>
      </c>
      <c r="C359" t="n">
        <v>0</v>
      </c>
      <c r="D359" t="n">
        <v>21353</v>
      </c>
      <c r="E359" t="s">
        <v>370</v>
      </c>
      <c r="F359" t="s"/>
      <c r="G359" t="s"/>
      <c r="H359" t="s"/>
      <c r="I359" t="s"/>
      <c r="J359" t="n">
        <v>0</v>
      </c>
      <c r="K359" t="n">
        <v>0</v>
      </c>
      <c r="L359" t="n">
        <v>1</v>
      </c>
      <c r="M359" t="n">
        <v>0</v>
      </c>
    </row>
    <row r="360" spans="1:13">
      <c r="A360" s="1">
        <f>HYPERLINK("http://www.twitter.com/NathanBLawrence/status/997715193890295808", "997715193890295808")</f>
        <v/>
      </c>
      <c r="B360" s="2" t="n">
        <v>43239.24089120371</v>
      </c>
      <c r="C360" t="n">
        <v>0</v>
      </c>
      <c r="D360" t="n">
        <v>56</v>
      </c>
      <c r="E360" t="s">
        <v>371</v>
      </c>
      <c r="F360" t="s"/>
      <c r="G360" t="s"/>
      <c r="H360" t="s"/>
      <c r="I360" t="s"/>
      <c r="J360" t="n">
        <v>0.4995</v>
      </c>
      <c r="K360" t="n">
        <v>0</v>
      </c>
      <c r="L360" t="n">
        <v>0.84</v>
      </c>
      <c r="M360" t="n">
        <v>0.16</v>
      </c>
    </row>
    <row r="361" spans="1:13">
      <c r="A361" s="1">
        <f>HYPERLINK("http://www.twitter.com/NathanBLawrence/status/997715150328213504", "997715150328213504")</f>
        <v/>
      </c>
      <c r="B361" s="2" t="n">
        <v>43239.24077546296</v>
      </c>
      <c r="C361" t="n">
        <v>0</v>
      </c>
      <c r="D361" t="n">
        <v>6185</v>
      </c>
      <c r="E361" t="s">
        <v>372</v>
      </c>
      <c r="F361">
        <f>HYPERLINK("https://video.twimg.com/amplify_video/997569450068103170/vid/1280x720/5WauE9VUnkTf7o86.mp4?tag=2", "https://video.twimg.com/amplify_video/997569450068103170/vid/1280x720/5WauE9VUnkTf7o86.mp4?tag=2")</f>
        <v/>
      </c>
      <c r="G361" t="s"/>
      <c r="H361" t="s"/>
      <c r="I361" t="s"/>
      <c r="J361" t="n">
        <v>-0.4215</v>
      </c>
      <c r="K361" t="n">
        <v>0.188</v>
      </c>
      <c r="L361" t="n">
        <v>0.719</v>
      </c>
      <c r="M361" t="n">
        <v>0.092</v>
      </c>
    </row>
    <row r="362" spans="1:13">
      <c r="A362" s="1">
        <f>HYPERLINK("http://www.twitter.com/NathanBLawrence/status/997713876895531009", "997713876895531009")</f>
        <v/>
      </c>
      <c r="B362" s="2" t="n">
        <v>43239.23725694444</v>
      </c>
      <c r="C362" t="n">
        <v>0</v>
      </c>
      <c r="D362" t="n">
        <v>6</v>
      </c>
      <c r="E362" t="s">
        <v>373</v>
      </c>
      <c r="F362" t="s"/>
      <c r="G362" t="s"/>
      <c r="H362" t="s"/>
      <c r="I362" t="s"/>
      <c r="J362" t="n">
        <v>0.4201</v>
      </c>
      <c r="K362" t="n">
        <v>0</v>
      </c>
      <c r="L362" t="n">
        <v>0.887</v>
      </c>
      <c r="M362" t="n">
        <v>0.113</v>
      </c>
    </row>
    <row r="363" spans="1:13">
      <c r="A363" s="1">
        <f>HYPERLINK("http://www.twitter.com/NathanBLawrence/status/997713515145322496", "997713515145322496")</f>
        <v/>
      </c>
      <c r="B363" s="2" t="n">
        <v>43239.23626157407</v>
      </c>
      <c r="C363" t="n">
        <v>0</v>
      </c>
      <c r="D363" t="n">
        <v>1</v>
      </c>
      <c r="E363" t="s">
        <v>374</v>
      </c>
      <c r="F363" t="s"/>
      <c r="G363" t="s"/>
      <c r="H363" t="s"/>
      <c r="I363" t="s"/>
      <c r="J363" t="n">
        <v>-0.2462</v>
      </c>
      <c r="K363" t="n">
        <v>0.135</v>
      </c>
      <c r="L363" t="n">
        <v>0.777</v>
      </c>
      <c r="M363" t="n">
        <v>0.08699999999999999</v>
      </c>
    </row>
    <row r="364" spans="1:13">
      <c r="A364" s="1">
        <f>HYPERLINK("http://www.twitter.com/NathanBLawrence/status/997713278536208385", "997713278536208385")</f>
        <v/>
      </c>
      <c r="B364" s="2" t="n">
        <v>43239.23560185185</v>
      </c>
      <c r="C364" t="n">
        <v>0</v>
      </c>
      <c r="D364" t="n">
        <v>135</v>
      </c>
      <c r="E364" t="s">
        <v>375</v>
      </c>
      <c r="F364" t="s"/>
      <c r="G364" t="s"/>
      <c r="H364" t="s"/>
      <c r="I364" t="s"/>
      <c r="J364" t="n">
        <v>0.3434</v>
      </c>
      <c r="K364" t="n">
        <v>0.092</v>
      </c>
      <c r="L364" t="n">
        <v>0.757</v>
      </c>
      <c r="M364" t="n">
        <v>0.151</v>
      </c>
    </row>
    <row r="365" spans="1:13">
      <c r="A365" s="1">
        <f>HYPERLINK("http://www.twitter.com/NathanBLawrence/status/997713091763802112", "997713091763802112")</f>
        <v/>
      </c>
      <c r="B365" s="2" t="n">
        <v>43239.23509259259</v>
      </c>
      <c r="C365" t="n">
        <v>0</v>
      </c>
      <c r="D365" t="n">
        <v>6</v>
      </c>
      <c r="E365" t="s">
        <v>376</v>
      </c>
      <c r="F365" t="s"/>
      <c r="G365" t="s"/>
      <c r="H365" t="s"/>
      <c r="I365" t="s"/>
      <c r="J365" t="n">
        <v>0</v>
      </c>
      <c r="K365" t="n">
        <v>0</v>
      </c>
      <c r="L365" t="n">
        <v>1</v>
      </c>
      <c r="M365" t="n">
        <v>0</v>
      </c>
    </row>
    <row r="366" spans="1:13">
      <c r="A366" s="1">
        <f>HYPERLINK("http://www.twitter.com/NathanBLawrence/status/997712951695028225", "997712951695028225")</f>
        <v/>
      </c>
      <c r="B366" s="2" t="n">
        <v>43239.23469907408</v>
      </c>
      <c r="C366" t="n">
        <v>0</v>
      </c>
      <c r="D366" t="n">
        <v>8</v>
      </c>
      <c r="E366" t="s">
        <v>377</v>
      </c>
      <c r="F366">
        <f>HYPERLINK("http://pbs.twimg.com/media/DdhKmJ6VQAAyz4r.jpg", "http://pbs.twimg.com/media/DdhKmJ6VQAAyz4r.jpg")</f>
        <v/>
      </c>
      <c r="G366" t="s"/>
      <c r="H366" t="s"/>
      <c r="I366" t="s"/>
      <c r="J366" t="n">
        <v>-0.4199</v>
      </c>
      <c r="K366" t="n">
        <v>0.117</v>
      </c>
      <c r="L366" t="n">
        <v>0.883</v>
      </c>
      <c r="M366" t="n">
        <v>0</v>
      </c>
    </row>
    <row r="367" spans="1:13">
      <c r="A367" s="1">
        <f>HYPERLINK("http://www.twitter.com/NathanBLawrence/status/997712766898262017", "997712766898262017")</f>
        <v/>
      </c>
      <c r="B367" s="2" t="n">
        <v>43239.23418981482</v>
      </c>
      <c r="C367" t="n">
        <v>0</v>
      </c>
      <c r="D367" t="n">
        <v>2530</v>
      </c>
      <c r="E367" t="s">
        <v>378</v>
      </c>
      <c r="F367" t="s"/>
      <c r="G367" t="s"/>
      <c r="H367" t="s"/>
      <c r="I367" t="s"/>
      <c r="J367" t="n">
        <v>-0.8529</v>
      </c>
      <c r="K367" t="n">
        <v>0.352</v>
      </c>
      <c r="L367" t="n">
        <v>0.648</v>
      </c>
      <c r="M367" t="n">
        <v>0</v>
      </c>
    </row>
    <row r="368" spans="1:13">
      <c r="A368" s="1">
        <f>HYPERLINK("http://www.twitter.com/NathanBLawrence/status/997712680839413760", "997712680839413760")</f>
        <v/>
      </c>
      <c r="B368" s="2" t="n">
        <v>43239.23395833333</v>
      </c>
      <c r="C368" t="n">
        <v>0</v>
      </c>
      <c r="D368" t="n">
        <v>390</v>
      </c>
      <c r="E368" t="s">
        <v>379</v>
      </c>
      <c r="F368" t="s"/>
      <c r="G368" t="s"/>
      <c r="H368" t="s"/>
      <c r="I368" t="s"/>
      <c r="J368" t="n">
        <v>0.25</v>
      </c>
      <c r="K368" t="n">
        <v>0</v>
      </c>
      <c r="L368" t="n">
        <v>0.923</v>
      </c>
      <c r="M368" t="n">
        <v>0.077</v>
      </c>
    </row>
    <row r="369" spans="1:13">
      <c r="A369" s="1">
        <f>HYPERLINK("http://www.twitter.com/NathanBLawrence/status/997712555257815040", "997712555257815040")</f>
        <v/>
      </c>
      <c r="B369" s="2" t="n">
        <v>43239.23361111111</v>
      </c>
      <c r="C369" t="n">
        <v>0</v>
      </c>
      <c r="D369" t="n">
        <v>3668</v>
      </c>
      <c r="E369" t="s">
        <v>380</v>
      </c>
      <c r="F369" t="s"/>
      <c r="G369" t="s"/>
      <c r="H369" t="s"/>
      <c r="I369" t="s"/>
      <c r="J369" t="n">
        <v>0.2235</v>
      </c>
      <c r="K369" t="n">
        <v>0</v>
      </c>
      <c r="L369" t="n">
        <v>0.91</v>
      </c>
      <c r="M369" t="n">
        <v>0.09</v>
      </c>
    </row>
    <row r="370" spans="1:13">
      <c r="A370" s="1">
        <f>HYPERLINK("http://www.twitter.com/NathanBLawrence/status/997712398755815429", "997712398755815429")</f>
        <v/>
      </c>
      <c r="B370" s="2" t="n">
        <v>43239.23318287037</v>
      </c>
      <c r="C370" t="n">
        <v>0</v>
      </c>
      <c r="D370" t="n">
        <v>320</v>
      </c>
      <c r="E370" t="s">
        <v>381</v>
      </c>
      <c r="F370" t="s"/>
      <c r="G370" t="s"/>
      <c r="H370" t="s"/>
      <c r="I370" t="s"/>
      <c r="J370" t="n">
        <v>0.4215</v>
      </c>
      <c r="K370" t="n">
        <v>0</v>
      </c>
      <c r="L370" t="n">
        <v>0.891</v>
      </c>
      <c r="M370" t="n">
        <v>0.109</v>
      </c>
    </row>
    <row r="371" spans="1:13">
      <c r="A371" s="1">
        <f>HYPERLINK("http://www.twitter.com/NathanBLawrence/status/997712191632691201", "997712191632691201")</f>
        <v/>
      </c>
      <c r="B371" s="2" t="n">
        <v>43239.23260416667</v>
      </c>
      <c r="C371" t="n">
        <v>0</v>
      </c>
      <c r="D371" t="n">
        <v>5439</v>
      </c>
      <c r="E371" t="s">
        <v>382</v>
      </c>
      <c r="F371" t="s"/>
      <c r="G371" t="s"/>
      <c r="H371" t="s"/>
      <c r="I371" t="s"/>
      <c r="J371" t="n">
        <v>0</v>
      </c>
      <c r="K371" t="n">
        <v>0</v>
      </c>
      <c r="L371" t="n">
        <v>1</v>
      </c>
      <c r="M371" t="n">
        <v>0</v>
      </c>
    </row>
    <row r="372" spans="1:13">
      <c r="A372" s="1">
        <f>HYPERLINK("http://www.twitter.com/NathanBLawrence/status/997712009562066946", "997712009562066946")</f>
        <v/>
      </c>
      <c r="B372" s="2" t="n">
        <v>43239.23210648148</v>
      </c>
      <c r="C372" t="n">
        <v>0</v>
      </c>
      <c r="D372" t="n">
        <v>6117</v>
      </c>
      <c r="E372" t="s">
        <v>383</v>
      </c>
      <c r="F372" t="s"/>
      <c r="G372" t="s"/>
      <c r="H372" t="s"/>
      <c r="I372" t="s"/>
      <c r="J372" t="n">
        <v>-0.5574</v>
      </c>
      <c r="K372" t="n">
        <v>0.195</v>
      </c>
      <c r="L372" t="n">
        <v>0.805</v>
      </c>
      <c r="M372" t="n">
        <v>0</v>
      </c>
    </row>
    <row r="373" spans="1:13">
      <c r="A373" s="1">
        <f>HYPERLINK("http://www.twitter.com/NathanBLawrence/status/997583108311605249", "997583108311605249")</f>
        <v/>
      </c>
      <c r="B373" s="2" t="n">
        <v>43238.87640046296</v>
      </c>
      <c r="C373" t="n">
        <v>7</v>
      </c>
      <c r="D373" t="n">
        <v>5</v>
      </c>
      <c r="E373" t="s">
        <v>384</v>
      </c>
      <c r="F373" t="s"/>
      <c r="G373" t="s"/>
      <c r="H373" t="s"/>
      <c r="I373" t="s"/>
      <c r="J373" t="n">
        <v>-0.296</v>
      </c>
      <c r="K373" t="n">
        <v>0.128</v>
      </c>
      <c r="L373" t="n">
        <v>0.872</v>
      </c>
      <c r="M373" t="n">
        <v>0</v>
      </c>
    </row>
    <row r="374" spans="1:13">
      <c r="A374" s="1">
        <f>HYPERLINK("http://www.twitter.com/NathanBLawrence/status/997581243788267520", "997581243788267520")</f>
        <v/>
      </c>
      <c r="B374" s="2" t="n">
        <v>43238.87126157407</v>
      </c>
      <c r="C374" t="n">
        <v>0</v>
      </c>
      <c r="D374" t="n">
        <v>11</v>
      </c>
      <c r="E374" t="s">
        <v>385</v>
      </c>
      <c r="F374" t="s"/>
      <c r="G374" t="s"/>
      <c r="H374" t="s"/>
      <c r="I374" t="s"/>
      <c r="J374" t="n">
        <v>0.4767</v>
      </c>
      <c r="K374" t="n">
        <v>0</v>
      </c>
      <c r="L374" t="n">
        <v>0.876</v>
      </c>
      <c r="M374" t="n">
        <v>0.124</v>
      </c>
    </row>
    <row r="375" spans="1:13">
      <c r="A375" s="1">
        <f>HYPERLINK("http://www.twitter.com/NathanBLawrence/status/997580509306937345", "997580509306937345")</f>
        <v/>
      </c>
      <c r="B375" s="2" t="n">
        <v>43238.86923611111</v>
      </c>
      <c r="C375" t="n">
        <v>0</v>
      </c>
      <c r="D375" t="n">
        <v>36</v>
      </c>
      <c r="E375" t="s">
        <v>386</v>
      </c>
      <c r="F375" t="s"/>
      <c r="G375" t="s"/>
      <c r="H375" t="s"/>
      <c r="I375" t="s"/>
      <c r="J375" t="n">
        <v>0.2732</v>
      </c>
      <c r="K375" t="n">
        <v>0</v>
      </c>
      <c r="L375" t="n">
        <v>0.877</v>
      </c>
      <c r="M375" t="n">
        <v>0.123</v>
      </c>
    </row>
    <row r="376" spans="1:13">
      <c r="A376" s="1">
        <f>HYPERLINK("http://www.twitter.com/NathanBLawrence/status/997506175632457729", "997506175632457729")</f>
        <v/>
      </c>
      <c r="B376" s="2" t="n">
        <v>43238.6641087963</v>
      </c>
      <c r="C376" t="n">
        <v>0</v>
      </c>
      <c r="D376" t="n">
        <v>2121</v>
      </c>
      <c r="E376" t="s">
        <v>387</v>
      </c>
      <c r="F376">
        <f>HYPERLINK("https://video.twimg.com/ext_tw_video/920759824236736512/pu/vid/1280x720/9VlNCxTXId4W1Sl9.mp4", "https://video.twimg.com/ext_tw_video/920759824236736512/pu/vid/1280x720/9VlNCxTXId4W1Sl9.mp4")</f>
        <v/>
      </c>
      <c r="G376" t="s"/>
      <c r="H376" t="s"/>
      <c r="I376" t="s"/>
      <c r="J376" t="n">
        <v>-0.835</v>
      </c>
      <c r="K376" t="n">
        <v>0.397</v>
      </c>
      <c r="L376" t="n">
        <v>0.603</v>
      </c>
      <c r="M376" t="n">
        <v>0</v>
      </c>
    </row>
    <row r="377" spans="1:13">
      <c r="A377" s="1">
        <f>HYPERLINK("http://www.twitter.com/NathanBLawrence/status/997505631174049792", "997505631174049792")</f>
        <v/>
      </c>
      <c r="B377" s="2" t="n">
        <v>43238.66260416667</v>
      </c>
      <c r="C377" t="n">
        <v>0</v>
      </c>
      <c r="D377" t="n">
        <v>3</v>
      </c>
      <c r="E377" t="s">
        <v>388</v>
      </c>
      <c r="F377" t="s"/>
      <c r="G377" t="s"/>
      <c r="H377" t="s"/>
      <c r="I377" t="s"/>
      <c r="J377" t="n">
        <v>0.5673</v>
      </c>
      <c r="K377" t="n">
        <v>0</v>
      </c>
      <c r="L377" t="n">
        <v>0.851</v>
      </c>
      <c r="M377" t="n">
        <v>0.149</v>
      </c>
    </row>
    <row r="378" spans="1:13">
      <c r="A378" s="1">
        <f>HYPERLINK("http://www.twitter.com/NathanBLawrence/status/997499493560991744", "997499493560991744")</f>
        <v/>
      </c>
      <c r="B378" s="2" t="n">
        <v>43238.6456712963</v>
      </c>
      <c r="C378" t="n">
        <v>7</v>
      </c>
      <c r="D378" t="n">
        <v>3</v>
      </c>
      <c r="E378" t="s">
        <v>389</v>
      </c>
      <c r="F378" t="s"/>
      <c r="G378" t="s"/>
      <c r="H378" t="s"/>
      <c r="I378" t="s"/>
      <c r="J378" t="n">
        <v>0.5673</v>
      </c>
      <c r="K378" t="n">
        <v>0</v>
      </c>
      <c r="L378" t="n">
        <v>0.876</v>
      </c>
      <c r="M378" t="n">
        <v>0.124</v>
      </c>
    </row>
    <row r="379" spans="1:13">
      <c r="A379" s="1">
        <f>HYPERLINK("http://www.twitter.com/NathanBLawrence/status/997498596588109824", "997498596588109824")</f>
        <v/>
      </c>
      <c r="B379" s="2" t="n">
        <v>43238.64319444444</v>
      </c>
      <c r="C379" t="n">
        <v>9</v>
      </c>
      <c r="D379" t="n">
        <v>6</v>
      </c>
      <c r="E379" t="s">
        <v>390</v>
      </c>
      <c r="F379" t="s"/>
      <c r="G379" t="s"/>
      <c r="H379" t="s"/>
      <c r="I379" t="s"/>
      <c r="J379" t="n">
        <v>0.5673</v>
      </c>
      <c r="K379" t="n">
        <v>0</v>
      </c>
      <c r="L379" t="n">
        <v>0.845</v>
      </c>
      <c r="M379" t="n">
        <v>0.155</v>
      </c>
    </row>
    <row r="380" spans="1:13">
      <c r="A380" s="1">
        <f>HYPERLINK("http://www.twitter.com/NathanBLawrence/status/997489333832597508", "997489333832597508")</f>
        <v/>
      </c>
      <c r="B380" s="2" t="n">
        <v>43238.61763888889</v>
      </c>
      <c r="C380" t="n">
        <v>12</v>
      </c>
      <c r="D380" t="n">
        <v>7</v>
      </c>
      <c r="E380" t="s">
        <v>391</v>
      </c>
      <c r="F380" t="s"/>
      <c r="G380" t="s"/>
      <c r="H380" t="s"/>
      <c r="I380" t="s"/>
      <c r="J380" t="n">
        <v>-0.914</v>
      </c>
      <c r="K380" t="n">
        <v>0.314</v>
      </c>
      <c r="L380" t="n">
        <v>0.6860000000000001</v>
      </c>
      <c r="M380" t="n">
        <v>0</v>
      </c>
    </row>
    <row r="381" spans="1:13">
      <c r="A381" s="1">
        <f>HYPERLINK("http://www.twitter.com/NathanBLawrence/status/997485834826797056", "997485834826797056")</f>
        <v/>
      </c>
      <c r="B381" s="2" t="n">
        <v>43238.60798611111</v>
      </c>
      <c r="C381" t="n">
        <v>1</v>
      </c>
      <c r="D381" t="n">
        <v>1</v>
      </c>
      <c r="E381" t="s">
        <v>392</v>
      </c>
      <c r="F381" t="s"/>
      <c r="G381" t="s"/>
      <c r="H381" t="s"/>
      <c r="I381" t="s"/>
      <c r="J381" t="n">
        <v>-0.6249</v>
      </c>
      <c r="K381" t="n">
        <v>0.124</v>
      </c>
      <c r="L381" t="n">
        <v>0.876</v>
      </c>
      <c r="M381" t="n">
        <v>0</v>
      </c>
    </row>
    <row r="382" spans="1:13">
      <c r="A382" s="1">
        <f>HYPERLINK("http://www.twitter.com/NathanBLawrence/status/997367712589508608", "997367712589508608")</f>
        <v/>
      </c>
      <c r="B382" s="2" t="n">
        <v>43238.28202546296</v>
      </c>
      <c r="C382" t="n">
        <v>0</v>
      </c>
      <c r="D382" t="n">
        <v>234</v>
      </c>
      <c r="E382" t="s">
        <v>393</v>
      </c>
      <c r="F382" t="s"/>
      <c r="G382" t="s"/>
      <c r="H382" t="s"/>
      <c r="I382" t="s"/>
      <c r="J382" t="n">
        <v>0.4215</v>
      </c>
      <c r="K382" t="n">
        <v>0</v>
      </c>
      <c r="L382" t="n">
        <v>0.891</v>
      </c>
      <c r="M382" t="n">
        <v>0.109</v>
      </c>
    </row>
    <row r="383" spans="1:13">
      <c r="A383" s="1">
        <f>HYPERLINK("http://www.twitter.com/NathanBLawrence/status/997367628996988928", "997367628996988928")</f>
        <v/>
      </c>
      <c r="B383" s="2" t="n">
        <v>43238.28179398148</v>
      </c>
      <c r="C383" t="n">
        <v>0</v>
      </c>
      <c r="D383" t="n">
        <v>2119</v>
      </c>
      <c r="E383" t="s">
        <v>394</v>
      </c>
      <c r="F383" t="s"/>
      <c r="G383" t="s"/>
      <c r="H383" t="s"/>
      <c r="I383" t="s"/>
      <c r="J383" t="n">
        <v>0</v>
      </c>
      <c r="K383" t="n">
        <v>0</v>
      </c>
      <c r="L383" t="n">
        <v>1</v>
      </c>
      <c r="M383" t="n">
        <v>0</v>
      </c>
    </row>
    <row r="384" spans="1:13">
      <c r="A384" s="1">
        <f>HYPERLINK("http://www.twitter.com/NathanBLawrence/status/997367507857104897", "997367507857104897")</f>
        <v/>
      </c>
      <c r="B384" s="2" t="n">
        <v>43238.28145833333</v>
      </c>
      <c r="C384" t="n">
        <v>0</v>
      </c>
      <c r="D384" t="n">
        <v>8572</v>
      </c>
      <c r="E384" t="s">
        <v>395</v>
      </c>
      <c r="F384">
        <f>HYPERLINK("https://video.twimg.com/ext_tw_video/997105846843666436/pu/vid/1280x720/nKPFFY4GmUpucwZO.mp4?tag=3", "https://video.twimg.com/ext_tw_video/997105846843666436/pu/vid/1280x720/nKPFFY4GmUpucwZO.mp4?tag=3")</f>
        <v/>
      </c>
      <c r="G384" t="s"/>
      <c r="H384" t="s"/>
      <c r="I384" t="s"/>
      <c r="J384" t="n">
        <v>-0.7845</v>
      </c>
      <c r="K384" t="n">
        <v>0.247</v>
      </c>
      <c r="L384" t="n">
        <v>0.753</v>
      </c>
      <c r="M384" t="n">
        <v>0</v>
      </c>
    </row>
    <row r="385" spans="1:13">
      <c r="A385" s="1">
        <f>HYPERLINK("http://www.twitter.com/NathanBLawrence/status/997367404748529665", "997367404748529665")</f>
        <v/>
      </c>
      <c r="B385" s="2" t="n">
        <v>43238.28118055555</v>
      </c>
      <c r="C385" t="n">
        <v>0</v>
      </c>
      <c r="D385" t="n">
        <v>2135</v>
      </c>
      <c r="E385" t="s">
        <v>396</v>
      </c>
      <c r="F385">
        <f>HYPERLINK("https://video.twimg.com/ext_tw_video/997295712390950913/pu/vid/640x360/wWP2p8HdHdEXDwTC.mp4?tag=3", "https://video.twimg.com/ext_tw_video/997295712390950913/pu/vid/640x360/wWP2p8HdHdEXDwTC.mp4?tag=3")</f>
        <v/>
      </c>
      <c r="G385" t="s"/>
      <c r="H385" t="s"/>
      <c r="I385" t="s"/>
      <c r="J385" t="n">
        <v>0.0772</v>
      </c>
      <c r="K385" t="n">
        <v>0</v>
      </c>
      <c r="L385" t="n">
        <v>0.949</v>
      </c>
      <c r="M385" t="n">
        <v>0.051</v>
      </c>
    </row>
    <row r="386" spans="1:13">
      <c r="A386" s="1">
        <f>HYPERLINK("http://www.twitter.com/NathanBLawrence/status/997367267808735233", "997367267808735233")</f>
        <v/>
      </c>
      <c r="B386" s="2" t="n">
        <v>43238.28079861111</v>
      </c>
      <c r="C386" t="n">
        <v>0</v>
      </c>
      <c r="D386" t="n">
        <v>2673</v>
      </c>
      <c r="E386" t="s">
        <v>397</v>
      </c>
      <c r="F386" t="s"/>
      <c r="G386" t="s"/>
      <c r="H386" t="s"/>
      <c r="I386" t="s"/>
      <c r="J386" t="n">
        <v>0.7603</v>
      </c>
      <c r="K386" t="n">
        <v>0</v>
      </c>
      <c r="L386" t="n">
        <v>0.647</v>
      </c>
      <c r="M386" t="n">
        <v>0.353</v>
      </c>
    </row>
    <row r="387" spans="1:13">
      <c r="A387" s="1">
        <f>HYPERLINK("http://www.twitter.com/NathanBLawrence/status/997367213609844736", "997367213609844736")</f>
        <v/>
      </c>
      <c r="B387" s="2" t="n">
        <v>43238.28064814815</v>
      </c>
      <c r="C387" t="n">
        <v>0</v>
      </c>
      <c r="D387" t="n">
        <v>689</v>
      </c>
      <c r="E387" t="s">
        <v>398</v>
      </c>
      <c r="F387" t="s"/>
      <c r="G387" t="s"/>
      <c r="H387" t="s"/>
      <c r="I387" t="s"/>
      <c r="J387" t="n">
        <v>-0.1779</v>
      </c>
      <c r="K387" t="n">
        <v>0.07199999999999999</v>
      </c>
      <c r="L387" t="n">
        <v>0.928</v>
      </c>
      <c r="M387" t="n">
        <v>0</v>
      </c>
    </row>
    <row r="388" spans="1:13">
      <c r="A388" s="1">
        <f>HYPERLINK("http://www.twitter.com/NathanBLawrence/status/997367114079047680", "997367114079047680")</f>
        <v/>
      </c>
      <c r="B388" s="2" t="n">
        <v>43238.28037037037</v>
      </c>
      <c r="C388" t="n">
        <v>0</v>
      </c>
      <c r="D388" t="n">
        <v>342</v>
      </c>
      <c r="E388" t="s">
        <v>399</v>
      </c>
      <c r="F388" t="s"/>
      <c r="G388" t="s"/>
      <c r="H388" t="s"/>
      <c r="I388" t="s"/>
      <c r="J388" t="n">
        <v>0</v>
      </c>
      <c r="K388" t="n">
        <v>0</v>
      </c>
      <c r="L388" t="n">
        <v>1</v>
      </c>
      <c r="M388" t="n">
        <v>0</v>
      </c>
    </row>
    <row r="389" spans="1:13">
      <c r="A389" s="1">
        <f>HYPERLINK("http://www.twitter.com/NathanBLawrence/status/997366923762511872", "997366923762511872")</f>
        <v/>
      </c>
      <c r="B389" s="2" t="n">
        <v>43238.27984953704</v>
      </c>
      <c r="C389" t="n">
        <v>0</v>
      </c>
      <c r="D389" t="n">
        <v>4203</v>
      </c>
      <c r="E389" t="s">
        <v>400</v>
      </c>
      <c r="F389" t="s"/>
      <c r="G389" t="s"/>
      <c r="H389" t="s"/>
      <c r="I389" t="s"/>
      <c r="J389" t="n">
        <v>0.7003</v>
      </c>
      <c r="K389" t="n">
        <v>0</v>
      </c>
      <c r="L389" t="n">
        <v>0.775</v>
      </c>
      <c r="M389" t="n">
        <v>0.225</v>
      </c>
    </row>
    <row r="390" spans="1:13">
      <c r="A390" s="1">
        <f>HYPERLINK("http://www.twitter.com/NathanBLawrence/status/997366839419252736", "997366839419252736")</f>
        <v/>
      </c>
      <c r="B390" s="2" t="n">
        <v>43238.27961805555</v>
      </c>
      <c r="C390" t="n">
        <v>0</v>
      </c>
      <c r="D390" t="n">
        <v>1748</v>
      </c>
      <c r="E390" t="s">
        <v>401</v>
      </c>
      <c r="F390" t="s"/>
      <c r="G390" t="s"/>
      <c r="H390" t="s"/>
      <c r="I390" t="s"/>
      <c r="J390" t="n">
        <v>0.8268</v>
      </c>
      <c r="K390" t="n">
        <v>0</v>
      </c>
      <c r="L390" t="n">
        <v>0.726</v>
      </c>
      <c r="M390" t="n">
        <v>0.274</v>
      </c>
    </row>
    <row r="391" spans="1:13">
      <c r="A391" s="1">
        <f>HYPERLINK("http://www.twitter.com/NathanBLawrence/status/997366755155693568", "997366755155693568")</f>
        <v/>
      </c>
      <c r="B391" s="2" t="n">
        <v>43238.27938657408</v>
      </c>
      <c r="C391" t="n">
        <v>0</v>
      </c>
      <c r="D391" t="n">
        <v>9</v>
      </c>
      <c r="E391" t="s">
        <v>402</v>
      </c>
      <c r="F391">
        <f>HYPERLINK("http://pbs.twimg.com/media/DdcRCTEXkAIt5Zu.jpg", "http://pbs.twimg.com/media/DdcRCTEXkAIt5Zu.jpg")</f>
        <v/>
      </c>
      <c r="G391" t="s"/>
      <c r="H391" t="s"/>
      <c r="I391" t="s"/>
      <c r="J391" t="n">
        <v>0.4404</v>
      </c>
      <c r="K391" t="n">
        <v>0</v>
      </c>
      <c r="L391" t="n">
        <v>0.674</v>
      </c>
      <c r="M391" t="n">
        <v>0.326</v>
      </c>
    </row>
    <row r="392" spans="1:13">
      <c r="A392" s="1">
        <f>HYPERLINK("http://www.twitter.com/NathanBLawrence/status/997366701921619968", "997366701921619968")</f>
        <v/>
      </c>
      <c r="B392" s="2" t="n">
        <v>43238.27923611111</v>
      </c>
      <c r="C392" t="n">
        <v>0</v>
      </c>
      <c r="D392" t="n">
        <v>2440</v>
      </c>
      <c r="E392" t="s">
        <v>403</v>
      </c>
      <c r="F392">
        <f>HYPERLINK("http://pbs.twimg.com/media/DdcFEA3VAAAE_h6.jpg", "http://pbs.twimg.com/media/DdcFEA3VAAAE_h6.jpg")</f>
        <v/>
      </c>
      <c r="G392" t="s"/>
      <c r="H392" t="s"/>
      <c r="I392" t="s"/>
      <c r="J392" t="n">
        <v>0.504</v>
      </c>
      <c r="K392" t="n">
        <v>0.075</v>
      </c>
      <c r="L392" t="n">
        <v>0.746</v>
      </c>
      <c r="M392" t="n">
        <v>0.18</v>
      </c>
    </row>
    <row r="393" spans="1:13">
      <c r="A393" s="1">
        <f>HYPERLINK("http://www.twitter.com/NathanBLawrence/status/997366644547743744", "997366644547743744")</f>
        <v/>
      </c>
      <c r="B393" s="2" t="n">
        <v>43238.27907407407</v>
      </c>
      <c r="C393" t="n">
        <v>0</v>
      </c>
      <c r="D393" t="n">
        <v>1029</v>
      </c>
      <c r="E393" t="s">
        <v>404</v>
      </c>
      <c r="F393" t="s"/>
      <c r="G393" t="s"/>
      <c r="H393" t="s"/>
      <c r="I393" t="s"/>
      <c r="J393" t="n">
        <v>-0.6249</v>
      </c>
      <c r="K393" t="n">
        <v>0.17</v>
      </c>
      <c r="L393" t="n">
        <v>0.83</v>
      </c>
      <c r="M393" t="n">
        <v>0</v>
      </c>
    </row>
    <row r="394" spans="1:13">
      <c r="A394" s="1">
        <f>HYPERLINK("http://www.twitter.com/NathanBLawrence/status/997366616248782849", "997366616248782849")</f>
        <v/>
      </c>
      <c r="B394" s="2" t="n">
        <v>43238.27900462963</v>
      </c>
      <c r="C394" t="n">
        <v>0</v>
      </c>
      <c r="D394" t="n">
        <v>588</v>
      </c>
      <c r="E394" t="s">
        <v>405</v>
      </c>
      <c r="F394" t="s"/>
      <c r="G394" t="s"/>
      <c r="H394" t="s"/>
      <c r="I394" t="s"/>
      <c r="J394" t="n">
        <v>0.128</v>
      </c>
      <c r="K394" t="n">
        <v>0</v>
      </c>
      <c r="L394" t="n">
        <v>0.9360000000000001</v>
      </c>
      <c r="M394" t="n">
        <v>0.064</v>
      </c>
    </row>
    <row r="395" spans="1:13">
      <c r="A395" s="1">
        <f>HYPERLINK("http://www.twitter.com/NathanBLawrence/status/997366517959405568", "997366517959405568")</f>
        <v/>
      </c>
      <c r="B395" s="2" t="n">
        <v>43238.27872685185</v>
      </c>
      <c r="C395" t="n">
        <v>0</v>
      </c>
      <c r="D395" t="n">
        <v>2783</v>
      </c>
      <c r="E395" t="s">
        <v>406</v>
      </c>
      <c r="F395">
        <f>HYPERLINK("https://video.twimg.com/amplify_video/997268115963576320/vid/1280x720/vIrk5ZZRXIwZc6hn.mp4?tag=2", "https://video.twimg.com/amplify_video/997268115963576320/vid/1280x720/vIrk5ZZRXIwZc6hn.mp4?tag=2")</f>
        <v/>
      </c>
      <c r="G395" t="s"/>
      <c r="H395" t="s"/>
      <c r="I395" t="s"/>
      <c r="J395" t="n">
        <v>-0.6361</v>
      </c>
      <c r="K395" t="n">
        <v>0.208</v>
      </c>
      <c r="L395" t="n">
        <v>0.792</v>
      </c>
      <c r="M395" t="n">
        <v>0</v>
      </c>
    </row>
    <row r="396" spans="1:13">
      <c r="A396" s="1">
        <f>HYPERLINK("http://www.twitter.com/NathanBLawrence/status/997366437596581888", "997366437596581888")</f>
        <v/>
      </c>
      <c r="B396" s="2" t="n">
        <v>43238.27850694444</v>
      </c>
      <c r="C396" t="n">
        <v>0</v>
      </c>
      <c r="D396" t="n">
        <v>8609</v>
      </c>
      <c r="E396" t="s">
        <v>407</v>
      </c>
      <c r="F396" t="s"/>
      <c r="G396" t="s"/>
      <c r="H396" t="s"/>
      <c r="I396" t="s"/>
      <c r="J396" t="n">
        <v>0</v>
      </c>
      <c r="K396" t="n">
        <v>0</v>
      </c>
      <c r="L396" t="n">
        <v>1</v>
      </c>
      <c r="M396" t="n">
        <v>0</v>
      </c>
    </row>
    <row r="397" spans="1:13">
      <c r="A397" s="1">
        <f>HYPERLINK("http://www.twitter.com/NathanBLawrence/status/997366382835785728", "997366382835785728")</f>
        <v/>
      </c>
      <c r="B397" s="2" t="n">
        <v>43238.27835648148</v>
      </c>
      <c r="C397" t="n">
        <v>0</v>
      </c>
      <c r="D397" t="n">
        <v>323</v>
      </c>
      <c r="E397" t="s">
        <v>408</v>
      </c>
      <c r="F397" t="s"/>
      <c r="G397" t="s"/>
      <c r="H397" t="s"/>
      <c r="I397" t="s"/>
      <c r="J397" t="n">
        <v>0</v>
      </c>
      <c r="K397" t="n">
        <v>0</v>
      </c>
      <c r="L397" t="n">
        <v>1</v>
      </c>
      <c r="M397" t="n">
        <v>0</v>
      </c>
    </row>
    <row r="398" spans="1:13">
      <c r="A398" s="1">
        <f>HYPERLINK("http://www.twitter.com/NathanBLawrence/status/997366297079046144", "997366297079046144")</f>
        <v/>
      </c>
      <c r="B398" s="2" t="n">
        <v>43238.278125</v>
      </c>
      <c r="C398" t="n">
        <v>0</v>
      </c>
      <c r="D398" t="n">
        <v>3843</v>
      </c>
      <c r="E398" t="s">
        <v>409</v>
      </c>
      <c r="F398" t="s"/>
      <c r="G398" t="s"/>
      <c r="H398" t="s"/>
      <c r="I398" t="s"/>
      <c r="J398" t="n">
        <v>0</v>
      </c>
      <c r="K398" t="n">
        <v>0</v>
      </c>
      <c r="L398" t="n">
        <v>1</v>
      </c>
      <c r="M398" t="n">
        <v>0</v>
      </c>
    </row>
    <row r="399" spans="1:13">
      <c r="A399" s="1">
        <f>HYPERLINK("http://www.twitter.com/NathanBLawrence/status/997366159593869313", "997366159593869313")</f>
        <v/>
      </c>
      <c r="B399" s="2" t="n">
        <v>43238.27774305556</v>
      </c>
      <c r="C399" t="n">
        <v>0</v>
      </c>
      <c r="D399" t="n">
        <v>390</v>
      </c>
      <c r="E399" t="s">
        <v>410</v>
      </c>
      <c r="F399" t="s"/>
      <c r="G399" t="s"/>
      <c r="H399" t="s"/>
      <c r="I399" t="s"/>
      <c r="J399" t="n">
        <v>0.5093</v>
      </c>
      <c r="K399" t="n">
        <v>0</v>
      </c>
      <c r="L399" t="n">
        <v>0.864</v>
      </c>
      <c r="M399" t="n">
        <v>0.136</v>
      </c>
    </row>
    <row r="400" spans="1:13">
      <c r="A400" s="1">
        <f>HYPERLINK("http://www.twitter.com/NathanBLawrence/status/997366020775006208", "997366020775006208")</f>
        <v/>
      </c>
      <c r="B400" s="2" t="n">
        <v>43238.27736111111</v>
      </c>
      <c r="C400" t="n">
        <v>0</v>
      </c>
      <c r="D400" t="n">
        <v>154</v>
      </c>
      <c r="E400" t="s">
        <v>411</v>
      </c>
      <c r="F400">
        <f>HYPERLINK("http://pbs.twimg.com/media/DdcO_4xVwAAz4mo.jpg", "http://pbs.twimg.com/media/DdcO_4xVwAAz4mo.jpg")</f>
        <v/>
      </c>
      <c r="G400" t="s"/>
      <c r="H400" t="s"/>
      <c r="I400" t="s"/>
      <c r="J400" t="n">
        <v>0.7964</v>
      </c>
      <c r="K400" t="n">
        <v>0</v>
      </c>
      <c r="L400" t="n">
        <v>0.6899999999999999</v>
      </c>
      <c r="M400" t="n">
        <v>0.31</v>
      </c>
    </row>
    <row r="401" spans="1:13">
      <c r="A401" s="1">
        <f>HYPERLINK("http://www.twitter.com/NathanBLawrence/status/997365933193736192", "997365933193736192")</f>
        <v/>
      </c>
      <c r="B401" s="2" t="n">
        <v>43238.27711805556</v>
      </c>
      <c r="C401" t="n">
        <v>0</v>
      </c>
      <c r="D401" t="n">
        <v>896</v>
      </c>
      <c r="E401" t="s">
        <v>412</v>
      </c>
      <c r="F401" t="s"/>
      <c r="G401" t="s"/>
      <c r="H401" t="s"/>
      <c r="I401" t="s"/>
      <c r="J401" t="n">
        <v>0.0258</v>
      </c>
      <c r="K401" t="n">
        <v>0.119</v>
      </c>
      <c r="L401" t="n">
        <v>0.758</v>
      </c>
      <c r="M401" t="n">
        <v>0.123</v>
      </c>
    </row>
    <row r="402" spans="1:13">
      <c r="A402" s="1">
        <f>HYPERLINK("http://www.twitter.com/NathanBLawrence/status/997365832933134336", "997365832933134336")</f>
        <v/>
      </c>
      <c r="B402" s="2" t="n">
        <v>43238.27684027778</v>
      </c>
      <c r="C402" t="n">
        <v>0</v>
      </c>
      <c r="D402" t="n">
        <v>2612</v>
      </c>
      <c r="E402" t="s">
        <v>413</v>
      </c>
      <c r="F402">
        <f>HYPERLINK("http://pbs.twimg.com/media/DdcbSZnUQAA3zvQ.jpg", "http://pbs.twimg.com/media/DdcbSZnUQAA3zvQ.jpg")</f>
        <v/>
      </c>
      <c r="G402" t="s"/>
      <c r="H402" t="s"/>
      <c r="I402" t="s"/>
      <c r="J402" t="n">
        <v>-0.4404</v>
      </c>
      <c r="K402" t="n">
        <v>0.172</v>
      </c>
      <c r="L402" t="n">
        <v>0.828</v>
      </c>
      <c r="M402" t="n">
        <v>0</v>
      </c>
    </row>
    <row r="403" spans="1:13">
      <c r="A403" s="1">
        <f>HYPERLINK("http://www.twitter.com/NathanBLawrence/status/997365782391808002", "997365782391808002")</f>
        <v/>
      </c>
      <c r="B403" s="2" t="n">
        <v>43238.27670138889</v>
      </c>
      <c r="C403" t="n">
        <v>0</v>
      </c>
      <c r="D403" t="n">
        <v>7109</v>
      </c>
      <c r="E403" t="s">
        <v>414</v>
      </c>
      <c r="F403" t="s"/>
      <c r="G403" t="s"/>
      <c r="H403" t="s"/>
      <c r="I403" t="s"/>
      <c r="J403" t="n">
        <v>-0.5423</v>
      </c>
      <c r="K403" t="n">
        <v>0.194</v>
      </c>
      <c r="L403" t="n">
        <v>0.717</v>
      </c>
      <c r="M403" t="n">
        <v>0.089</v>
      </c>
    </row>
    <row r="404" spans="1:13">
      <c r="A404" s="1">
        <f>HYPERLINK("http://www.twitter.com/NathanBLawrence/status/997365692105097216", "997365692105097216")</f>
        <v/>
      </c>
      <c r="B404" s="2" t="n">
        <v>43238.27644675926</v>
      </c>
      <c r="C404" t="n">
        <v>0</v>
      </c>
      <c r="D404" t="n">
        <v>1144</v>
      </c>
      <c r="E404" t="s">
        <v>415</v>
      </c>
      <c r="F404" t="s"/>
      <c r="G404" t="s"/>
      <c r="H404" t="s"/>
      <c r="I404" t="s"/>
      <c r="J404" t="n">
        <v>0</v>
      </c>
      <c r="K404" t="n">
        <v>0</v>
      </c>
      <c r="L404" t="n">
        <v>1</v>
      </c>
      <c r="M404" t="n">
        <v>0</v>
      </c>
    </row>
    <row r="405" spans="1:13">
      <c r="A405" s="1">
        <f>HYPERLINK("http://www.twitter.com/NathanBLawrence/status/997365602284130305", "997365602284130305")</f>
        <v/>
      </c>
      <c r="B405" s="2" t="n">
        <v>43238.2762037037</v>
      </c>
      <c r="C405" t="n">
        <v>0</v>
      </c>
      <c r="D405" t="n">
        <v>703</v>
      </c>
      <c r="E405" t="s">
        <v>416</v>
      </c>
      <c r="F405" t="s"/>
      <c r="G405" t="s"/>
      <c r="H405" t="s"/>
      <c r="I405" t="s"/>
      <c r="J405" t="n">
        <v>-0.1901</v>
      </c>
      <c r="K405" t="n">
        <v>0.11</v>
      </c>
      <c r="L405" t="n">
        <v>0.771</v>
      </c>
      <c r="M405" t="n">
        <v>0.119</v>
      </c>
    </row>
    <row r="406" spans="1:13">
      <c r="A406" s="1">
        <f>HYPERLINK("http://www.twitter.com/NathanBLawrence/status/997365512022654976", "997365512022654976")</f>
        <v/>
      </c>
      <c r="B406" s="2" t="n">
        <v>43238.27594907407</v>
      </c>
      <c r="C406" t="n">
        <v>0</v>
      </c>
      <c r="D406" t="n">
        <v>2856</v>
      </c>
      <c r="E406" t="s">
        <v>417</v>
      </c>
      <c r="F406" t="s"/>
      <c r="G406" t="s"/>
      <c r="H406" t="s"/>
      <c r="I406" t="s"/>
      <c r="J406" t="n">
        <v>0</v>
      </c>
      <c r="K406" t="n">
        <v>0</v>
      </c>
      <c r="L406" t="n">
        <v>1</v>
      </c>
      <c r="M406" t="n">
        <v>0</v>
      </c>
    </row>
    <row r="407" spans="1:13">
      <c r="A407" s="1">
        <f>HYPERLINK("http://www.twitter.com/NathanBLawrence/status/997365410201776128", "997365410201776128")</f>
        <v/>
      </c>
      <c r="B407" s="2" t="n">
        <v>43238.27567129629</v>
      </c>
      <c r="C407" t="n">
        <v>0</v>
      </c>
      <c r="D407" t="n">
        <v>728</v>
      </c>
      <c r="E407" t="s">
        <v>418</v>
      </c>
      <c r="F407">
        <f>HYPERLINK("http://pbs.twimg.com/media/DdcNxfpVMAAJCZx.jpg", "http://pbs.twimg.com/media/DdcNxfpVMAAJCZx.jpg")</f>
        <v/>
      </c>
      <c r="G407" t="s"/>
      <c r="H407" t="s"/>
      <c r="I407" t="s"/>
      <c r="J407" t="n">
        <v>0.6597</v>
      </c>
      <c r="K407" t="n">
        <v>0</v>
      </c>
      <c r="L407" t="n">
        <v>0.779</v>
      </c>
      <c r="M407" t="n">
        <v>0.221</v>
      </c>
    </row>
    <row r="408" spans="1:13">
      <c r="A408" s="1">
        <f>HYPERLINK("http://www.twitter.com/NathanBLawrence/status/997365308670337024", "997365308670337024")</f>
        <v/>
      </c>
      <c r="B408" s="2" t="n">
        <v>43238.27539351852</v>
      </c>
      <c r="C408" t="n">
        <v>0</v>
      </c>
      <c r="D408" t="n">
        <v>12500</v>
      </c>
      <c r="E408" t="s">
        <v>419</v>
      </c>
      <c r="F408" t="s"/>
      <c r="G408" t="s"/>
      <c r="H408" t="s"/>
      <c r="I408" t="s"/>
      <c r="J408" t="n">
        <v>-0.3818</v>
      </c>
      <c r="K408" t="n">
        <v>0.12</v>
      </c>
      <c r="L408" t="n">
        <v>0.88</v>
      </c>
      <c r="M408" t="n">
        <v>0</v>
      </c>
    </row>
    <row r="409" spans="1:13">
      <c r="A409" s="1">
        <f>HYPERLINK("http://www.twitter.com/NathanBLawrence/status/997365216605278209", "997365216605278209")</f>
        <v/>
      </c>
      <c r="B409" s="2" t="n">
        <v>43238.27513888889</v>
      </c>
      <c r="C409" t="n">
        <v>0</v>
      </c>
      <c r="D409" t="n">
        <v>1828</v>
      </c>
      <c r="E409" t="s">
        <v>420</v>
      </c>
      <c r="F409" t="s"/>
      <c r="G409" t="s"/>
      <c r="H409" t="s"/>
      <c r="I409" t="s"/>
      <c r="J409" t="n">
        <v>-0.8401999999999999</v>
      </c>
      <c r="K409" t="n">
        <v>0.321</v>
      </c>
      <c r="L409" t="n">
        <v>0.679</v>
      </c>
      <c r="M409" t="n">
        <v>0</v>
      </c>
    </row>
    <row r="410" spans="1:13">
      <c r="A410" s="1">
        <f>HYPERLINK("http://www.twitter.com/NathanBLawrence/status/997365158203875329", "997365158203875329")</f>
        <v/>
      </c>
      <c r="B410" s="2" t="n">
        <v>43238.27497685186</v>
      </c>
      <c r="C410" t="n">
        <v>0</v>
      </c>
      <c r="D410" t="n">
        <v>1258</v>
      </c>
      <c r="E410" t="s">
        <v>421</v>
      </c>
      <c r="F410">
        <f>HYPERLINK("https://video.twimg.com/amplify_video/997266484886888449/vid/640x360/IeyEYqbakYE_F1Gz.mp4?tag=2", "https://video.twimg.com/amplify_video/997266484886888449/vid/640x360/IeyEYqbakYE_F1Gz.mp4?tag=2")</f>
        <v/>
      </c>
      <c r="G410" t="s"/>
      <c r="H410" t="s"/>
      <c r="I410" t="s"/>
      <c r="J410" t="n">
        <v>0.4574</v>
      </c>
      <c r="K410" t="n">
        <v>0</v>
      </c>
      <c r="L410" t="n">
        <v>0.834</v>
      </c>
      <c r="M410" t="n">
        <v>0.166</v>
      </c>
    </row>
    <row r="411" spans="1:13">
      <c r="A411" s="1">
        <f>HYPERLINK("http://www.twitter.com/NathanBLawrence/status/997364937767997441", "997364937767997441")</f>
        <v/>
      </c>
      <c r="B411" s="2" t="n">
        <v>43238.27436342592</v>
      </c>
      <c r="C411" t="n">
        <v>1</v>
      </c>
      <c r="D411" t="n">
        <v>1</v>
      </c>
      <c r="E411" t="s">
        <v>422</v>
      </c>
      <c r="F411" t="s"/>
      <c r="G411" t="s"/>
      <c r="H411" t="s"/>
      <c r="I411" t="s"/>
      <c r="J411" t="n">
        <v>0</v>
      </c>
      <c r="K411" t="n">
        <v>0</v>
      </c>
      <c r="L411" t="n">
        <v>1</v>
      </c>
      <c r="M411" t="n">
        <v>0</v>
      </c>
    </row>
    <row r="412" spans="1:13">
      <c r="A412" s="1">
        <f>HYPERLINK("http://www.twitter.com/NathanBLawrence/status/997364832440602625", "997364832440602625")</f>
        <v/>
      </c>
      <c r="B412" s="2" t="n">
        <v>43238.27407407408</v>
      </c>
      <c r="C412" t="n">
        <v>0</v>
      </c>
      <c r="D412" t="n">
        <v>1725</v>
      </c>
      <c r="E412" t="s">
        <v>423</v>
      </c>
      <c r="F412" t="s"/>
      <c r="G412" t="s"/>
      <c r="H412" t="s"/>
      <c r="I412" t="s"/>
      <c r="J412" t="n">
        <v>0</v>
      </c>
      <c r="K412" t="n">
        <v>0</v>
      </c>
      <c r="L412" t="n">
        <v>1</v>
      </c>
      <c r="M412" t="n">
        <v>0</v>
      </c>
    </row>
    <row r="413" spans="1:13">
      <c r="A413" s="1">
        <f>HYPERLINK("http://www.twitter.com/NathanBLawrence/status/997364776924827656", "997364776924827656")</f>
        <v/>
      </c>
      <c r="B413" s="2" t="n">
        <v>43238.27392361111</v>
      </c>
      <c r="C413" t="n">
        <v>0</v>
      </c>
      <c r="D413" t="n">
        <v>399</v>
      </c>
      <c r="E413" t="s">
        <v>424</v>
      </c>
      <c r="F413" t="s"/>
      <c r="G413" t="s"/>
      <c r="H413" t="s"/>
      <c r="I413" t="s"/>
      <c r="J413" t="n">
        <v>0</v>
      </c>
      <c r="K413" t="n">
        <v>0</v>
      </c>
      <c r="L413" t="n">
        <v>1</v>
      </c>
      <c r="M413" t="n">
        <v>0</v>
      </c>
    </row>
    <row r="414" spans="1:13">
      <c r="A414" s="1">
        <f>HYPERLINK("http://www.twitter.com/NathanBLawrence/status/997364663405940736", "997364663405940736")</f>
        <v/>
      </c>
      <c r="B414" s="2" t="n">
        <v>43238.27361111111</v>
      </c>
      <c r="C414" t="n">
        <v>0</v>
      </c>
      <c r="D414" t="n">
        <v>2175</v>
      </c>
      <c r="E414" t="s">
        <v>425</v>
      </c>
      <c r="F414" t="s"/>
      <c r="G414" t="s"/>
      <c r="H414" t="s"/>
      <c r="I414" t="s"/>
      <c r="J414" t="n">
        <v>0.4005</v>
      </c>
      <c r="K414" t="n">
        <v>0</v>
      </c>
      <c r="L414" t="n">
        <v>0.886</v>
      </c>
      <c r="M414" t="n">
        <v>0.114</v>
      </c>
    </row>
    <row r="415" spans="1:13">
      <c r="A415" s="1">
        <f>HYPERLINK("http://www.twitter.com/NathanBLawrence/status/997364557294301184", "997364557294301184")</f>
        <v/>
      </c>
      <c r="B415" s="2" t="n">
        <v>43238.27332175926</v>
      </c>
      <c r="C415" t="n">
        <v>0</v>
      </c>
      <c r="D415" t="n">
        <v>3891</v>
      </c>
      <c r="E415" t="s">
        <v>426</v>
      </c>
      <c r="F415" t="s"/>
      <c r="G415" t="s"/>
      <c r="H415" t="s"/>
      <c r="I415" t="s"/>
      <c r="J415" t="n">
        <v>0</v>
      </c>
      <c r="K415" t="n">
        <v>0</v>
      </c>
      <c r="L415" t="n">
        <v>1</v>
      </c>
      <c r="M415" t="n">
        <v>0</v>
      </c>
    </row>
    <row r="416" spans="1:13">
      <c r="A416" s="1">
        <f>HYPERLINK("http://www.twitter.com/NathanBLawrence/status/997364493859647488", "997364493859647488")</f>
        <v/>
      </c>
      <c r="B416" s="2" t="n">
        <v>43238.27314814815</v>
      </c>
      <c r="C416" t="n">
        <v>0</v>
      </c>
      <c r="D416" t="n">
        <v>2059</v>
      </c>
      <c r="E416" t="s">
        <v>427</v>
      </c>
      <c r="F416">
        <f>HYPERLINK("http://pbs.twimg.com/media/DdcV6xnVMAAFMEd.jpg", "http://pbs.twimg.com/media/DdcV6xnVMAAFMEd.jpg")</f>
        <v/>
      </c>
      <c r="G416" t="s"/>
      <c r="H416" t="s"/>
      <c r="I416" t="s"/>
      <c r="J416" t="n">
        <v>0.2732</v>
      </c>
      <c r="K416" t="n">
        <v>0</v>
      </c>
      <c r="L416" t="n">
        <v>0.792</v>
      </c>
      <c r="M416" t="n">
        <v>0.208</v>
      </c>
    </row>
    <row r="417" spans="1:13">
      <c r="A417" s="1">
        <f>HYPERLINK("http://www.twitter.com/NathanBLawrence/status/997364448061984768", "997364448061984768")</f>
        <v/>
      </c>
      <c r="B417" s="2" t="n">
        <v>43238.27302083333</v>
      </c>
      <c r="C417" t="n">
        <v>0</v>
      </c>
      <c r="D417" t="n">
        <v>3</v>
      </c>
      <c r="E417" t="s">
        <v>428</v>
      </c>
      <c r="F417" t="s"/>
      <c r="G417" t="s"/>
      <c r="H417" t="s"/>
      <c r="I417" t="s"/>
      <c r="J417" t="n">
        <v>0.4019</v>
      </c>
      <c r="K417" t="n">
        <v>0</v>
      </c>
      <c r="L417" t="n">
        <v>0.828</v>
      </c>
      <c r="M417" t="n">
        <v>0.172</v>
      </c>
    </row>
    <row r="418" spans="1:13">
      <c r="A418" s="1">
        <f>HYPERLINK("http://www.twitter.com/NathanBLawrence/status/997364405271703553", "997364405271703553")</f>
        <v/>
      </c>
      <c r="B418" s="2" t="n">
        <v>43238.27290509259</v>
      </c>
      <c r="C418" t="n">
        <v>0</v>
      </c>
      <c r="D418" t="n">
        <v>3635</v>
      </c>
      <c r="E418" t="s">
        <v>429</v>
      </c>
      <c r="F418">
        <f>HYPERLINK("http://pbs.twimg.com/media/DdcCC2VVAAEnKHD.jpg", "http://pbs.twimg.com/media/DdcCC2VVAAEnKHD.jpg")</f>
        <v/>
      </c>
      <c r="G418" t="s"/>
      <c r="H418" t="s"/>
      <c r="I418" t="s"/>
      <c r="J418" t="n">
        <v>0.7579</v>
      </c>
      <c r="K418" t="n">
        <v>0</v>
      </c>
      <c r="L418" t="n">
        <v>0.711</v>
      </c>
      <c r="M418" t="n">
        <v>0.289</v>
      </c>
    </row>
    <row r="419" spans="1:13">
      <c r="A419" s="1">
        <f>HYPERLINK("http://www.twitter.com/NathanBLawrence/status/997363824377368576", "997363824377368576")</f>
        <v/>
      </c>
      <c r="B419" s="2" t="n">
        <v>43238.2712962963</v>
      </c>
      <c r="C419" t="n">
        <v>0</v>
      </c>
      <c r="D419" t="n">
        <v>2262</v>
      </c>
      <c r="E419" t="s">
        <v>430</v>
      </c>
      <c r="F419" t="s"/>
      <c r="G419" t="s"/>
      <c r="H419" t="s"/>
      <c r="I419" t="s"/>
      <c r="J419" t="n">
        <v>0</v>
      </c>
      <c r="K419" t="n">
        <v>0</v>
      </c>
      <c r="L419" t="n">
        <v>1</v>
      </c>
      <c r="M419" t="n">
        <v>0</v>
      </c>
    </row>
    <row r="420" spans="1:13">
      <c r="A420" s="1">
        <f>HYPERLINK("http://www.twitter.com/NathanBLawrence/status/997362680301223937", "997362680301223937")</f>
        <v/>
      </c>
      <c r="B420" s="2" t="n">
        <v>43238.26813657407</v>
      </c>
      <c r="C420" t="n">
        <v>0</v>
      </c>
      <c r="D420" t="n">
        <v>13350</v>
      </c>
      <c r="E420" t="s">
        <v>431</v>
      </c>
      <c r="F420">
        <f>HYPERLINK("http://pbs.twimg.com/media/DdboI79V4AAlKH1.jpg", "http://pbs.twimg.com/media/DdboI79V4AAlKH1.jpg")</f>
        <v/>
      </c>
      <c r="G420">
        <f>HYPERLINK("http://pbs.twimg.com/media/DdboI76VwAEqQL0.jpg", "http://pbs.twimg.com/media/DdboI76VwAEqQL0.jpg")</f>
        <v/>
      </c>
      <c r="H420">
        <f>HYPERLINK("http://pbs.twimg.com/media/DdboI77U0AASIfv.jpg", "http://pbs.twimg.com/media/DdboI77U0AASIfv.jpg")</f>
        <v/>
      </c>
      <c r="I420">
        <f>HYPERLINK("http://pbs.twimg.com/media/DdboI7_VwAArRt6.jpg", "http://pbs.twimg.com/media/DdboI7_VwAArRt6.jpg")</f>
        <v/>
      </c>
      <c r="J420" t="n">
        <v>0.9340000000000001</v>
      </c>
      <c r="K420" t="n">
        <v>0</v>
      </c>
      <c r="L420" t="n">
        <v>0.598</v>
      </c>
      <c r="M420" t="n">
        <v>0.402</v>
      </c>
    </row>
    <row r="421" spans="1:13">
      <c r="A421" s="1">
        <f>HYPERLINK("http://www.twitter.com/NathanBLawrence/status/997362304797822977", "997362304797822977")</f>
        <v/>
      </c>
      <c r="B421" s="2" t="n">
        <v>43238.26710648148</v>
      </c>
      <c r="C421" t="n">
        <v>0</v>
      </c>
      <c r="D421" t="n">
        <v>14283</v>
      </c>
      <c r="E421" t="s">
        <v>432</v>
      </c>
      <c r="F421" t="s"/>
      <c r="G421" t="s"/>
      <c r="H421" t="s"/>
      <c r="I421" t="s"/>
      <c r="J421" t="n">
        <v>0.7184</v>
      </c>
      <c r="K421" t="n">
        <v>0</v>
      </c>
      <c r="L421" t="n">
        <v>0.76</v>
      </c>
      <c r="M421" t="n">
        <v>0.24</v>
      </c>
    </row>
    <row r="422" spans="1:13">
      <c r="A422" s="1">
        <f>HYPERLINK("http://www.twitter.com/NathanBLawrence/status/997362258475929601", "997362258475929601")</f>
        <v/>
      </c>
      <c r="B422" s="2" t="n">
        <v>43238.26697916666</v>
      </c>
      <c r="C422" t="n">
        <v>0</v>
      </c>
      <c r="D422" t="n">
        <v>16732</v>
      </c>
      <c r="E422" t="s">
        <v>433</v>
      </c>
      <c r="F422" t="s"/>
      <c r="G422" t="s"/>
      <c r="H422" t="s"/>
      <c r="I422" t="s"/>
      <c r="J422" t="n">
        <v>0.8807</v>
      </c>
      <c r="K422" t="n">
        <v>0</v>
      </c>
      <c r="L422" t="n">
        <v>0.651</v>
      </c>
      <c r="M422" t="n">
        <v>0.349</v>
      </c>
    </row>
    <row r="423" spans="1:13">
      <c r="A423" s="1">
        <f>HYPERLINK("http://www.twitter.com/NathanBLawrence/status/997362146815115265", "997362146815115265")</f>
        <v/>
      </c>
      <c r="B423" s="2" t="n">
        <v>43238.26666666667</v>
      </c>
      <c r="C423" t="n">
        <v>0</v>
      </c>
      <c r="D423" t="n">
        <v>8001</v>
      </c>
      <c r="E423" t="s">
        <v>434</v>
      </c>
      <c r="F423">
        <f>HYPERLINK("http://pbs.twimg.com/media/Ddbc3laVAAAnjX4.jpg", "http://pbs.twimg.com/media/Ddbc3laVAAAnjX4.jpg")</f>
        <v/>
      </c>
      <c r="G423" t="s"/>
      <c r="H423" t="s"/>
      <c r="I423" t="s"/>
      <c r="J423" t="n">
        <v>0</v>
      </c>
      <c r="K423" t="n">
        <v>0</v>
      </c>
      <c r="L423" t="n">
        <v>1</v>
      </c>
      <c r="M423" t="n">
        <v>0</v>
      </c>
    </row>
    <row r="424" spans="1:13">
      <c r="A424" s="1">
        <f>HYPERLINK("http://www.twitter.com/NathanBLawrence/status/997362064355217408", "997362064355217408")</f>
        <v/>
      </c>
      <c r="B424" s="2" t="n">
        <v>43238.26643518519</v>
      </c>
      <c r="C424" t="n">
        <v>0</v>
      </c>
      <c r="D424" t="n">
        <v>18786</v>
      </c>
      <c r="E424" t="s">
        <v>435</v>
      </c>
      <c r="F424">
        <f>HYPERLINK("http://pbs.twimg.com/media/DdbWiRbVAAANmZi.jpg", "http://pbs.twimg.com/media/DdbWiRbVAAANmZi.jpg")</f>
        <v/>
      </c>
      <c r="G424" t="s"/>
      <c r="H424" t="s"/>
      <c r="I424" t="s"/>
      <c r="J424" t="n">
        <v>0.636</v>
      </c>
      <c r="K424" t="n">
        <v>0</v>
      </c>
      <c r="L424" t="n">
        <v>0.705</v>
      </c>
      <c r="M424" t="n">
        <v>0.295</v>
      </c>
    </row>
    <row r="425" spans="1:13">
      <c r="A425" s="1">
        <f>HYPERLINK("http://www.twitter.com/NathanBLawrence/status/997362027868942336", "997362027868942336")</f>
        <v/>
      </c>
      <c r="B425" s="2" t="n">
        <v>43238.26634259259</v>
      </c>
      <c r="C425" t="n">
        <v>0</v>
      </c>
      <c r="D425" t="n">
        <v>19076</v>
      </c>
      <c r="E425" t="s">
        <v>436</v>
      </c>
      <c r="F425" t="s"/>
      <c r="G425" t="s"/>
      <c r="H425" t="s"/>
      <c r="I425" t="s"/>
      <c r="J425" t="n">
        <v>0.1027</v>
      </c>
      <c r="K425" t="n">
        <v>0.109</v>
      </c>
      <c r="L425" t="n">
        <v>0.766</v>
      </c>
      <c r="M425" t="n">
        <v>0.124</v>
      </c>
    </row>
    <row r="426" spans="1:13">
      <c r="A426" s="1">
        <f>HYPERLINK("http://www.twitter.com/NathanBLawrence/status/997361940379963394", "997361940379963394")</f>
        <v/>
      </c>
      <c r="B426" s="2" t="n">
        <v>43238.26609953704</v>
      </c>
      <c r="C426" t="n">
        <v>0</v>
      </c>
      <c r="D426" t="n">
        <v>32325</v>
      </c>
      <c r="E426" t="s">
        <v>437</v>
      </c>
      <c r="F426" t="s"/>
      <c r="G426" t="s"/>
      <c r="H426" t="s"/>
      <c r="I426" t="s"/>
      <c r="J426" t="n">
        <v>-0.6605</v>
      </c>
      <c r="K426" t="n">
        <v>0.321</v>
      </c>
      <c r="L426" t="n">
        <v>0.541</v>
      </c>
      <c r="M426" t="n">
        <v>0.138</v>
      </c>
    </row>
    <row r="427" spans="1:13">
      <c r="A427" s="1">
        <f>HYPERLINK("http://www.twitter.com/NathanBLawrence/status/997361844372328449", "997361844372328449")</f>
        <v/>
      </c>
      <c r="B427" s="2" t="n">
        <v>43238.26583333333</v>
      </c>
      <c r="C427" t="n">
        <v>0</v>
      </c>
      <c r="D427" t="n">
        <v>33777</v>
      </c>
      <c r="E427" t="s">
        <v>438</v>
      </c>
      <c r="F427" t="s"/>
      <c r="G427" t="s"/>
      <c r="H427" t="s"/>
      <c r="I427" t="s"/>
      <c r="J427" t="n">
        <v>0.5859</v>
      </c>
      <c r="K427" t="n">
        <v>0</v>
      </c>
      <c r="L427" t="n">
        <v>0.858</v>
      </c>
      <c r="M427" t="n">
        <v>0.142</v>
      </c>
    </row>
    <row r="428" spans="1:13">
      <c r="A428" s="1">
        <f>HYPERLINK("http://www.twitter.com/NathanBLawrence/status/997361694635634689", "997361694635634689")</f>
        <v/>
      </c>
      <c r="B428" s="2" t="n">
        <v>43238.26541666667</v>
      </c>
      <c r="C428" t="n">
        <v>0</v>
      </c>
      <c r="D428" t="n">
        <v>30114</v>
      </c>
      <c r="E428" t="s">
        <v>439</v>
      </c>
      <c r="F428" t="s"/>
      <c r="G428" t="s"/>
      <c r="H428" t="s"/>
      <c r="I428" t="s"/>
      <c r="J428" t="n">
        <v>0.765</v>
      </c>
      <c r="K428" t="n">
        <v>0.08699999999999999</v>
      </c>
      <c r="L428" t="n">
        <v>0.629</v>
      </c>
      <c r="M428" t="n">
        <v>0.283</v>
      </c>
    </row>
    <row r="429" spans="1:13">
      <c r="A429" s="1">
        <f>HYPERLINK("http://www.twitter.com/NathanBLawrence/status/997361607750619136", "997361607750619136")</f>
        <v/>
      </c>
      <c r="B429" s="2" t="n">
        <v>43238.26518518518</v>
      </c>
      <c r="C429" t="n">
        <v>0</v>
      </c>
      <c r="D429" t="n">
        <v>17127</v>
      </c>
      <c r="E429" t="s">
        <v>440</v>
      </c>
      <c r="F429" t="s"/>
      <c r="G429" t="s"/>
      <c r="H429" t="s"/>
      <c r="I429" t="s"/>
      <c r="J429" t="n">
        <v>0.5266999999999999</v>
      </c>
      <c r="K429" t="n">
        <v>0</v>
      </c>
      <c r="L429" t="n">
        <v>0.876</v>
      </c>
      <c r="M429" t="n">
        <v>0.124</v>
      </c>
    </row>
    <row r="430" spans="1:13">
      <c r="A430" s="1">
        <f>HYPERLINK("http://www.twitter.com/NathanBLawrence/status/997361550058049537", "997361550058049537")</f>
        <v/>
      </c>
      <c r="B430" s="2" t="n">
        <v>43238.26502314815</v>
      </c>
      <c r="C430" t="n">
        <v>0</v>
      </c>
      <c r="D430" t="n">
        <v>9546</v>
      </c>
      <c r="E430" t="s">
        <v>441</v>
      </c>
      <c r="F430" t="s"/>
      <c r="G430" t="s"/>
      <c r="H430" t="s"/>
      <c r="I430" t="s"/>
      <c r="J430" t="n">
        <v>-0.7351</v>
      </c>
      <c r="K430" t="n">
        <v>0.338</v>
      </c>
      <c r="L430" t="n">
        <v>0.539</v>
      </c>
      <c r="M430" t="n">
        <v>0.123</v>
      </c>
    </row>
    <row r="431" spans="1:13">
      <c r="A431" s="1">
        <f>HYPERLINK("http://www.twitter.com/NathanBLawrence/status/997361462548094976", "997361462548094976")</f>
        <v/>
      </c>
      <c r="B431" s="2" t="n">
        <v>43238.26478009259</v>
      </c>
      <c r="C431" t="n">
        <v>0</v>
      </c>
      <c r="D431" t="n">
        <v>14339</v>
      </c>
      <c r="E431" t="s">
        <v>442</v>
      </c>
      <c r="F431" t="s"/>
      <c r="G431" t="s"/>
      <c r="H431" t="s"/>
      <c r="I431" t="s"/>
      <c r="J431" t="n">
        <v>0.3716</v>
      </c>
      <c r="K431" t="n">
        <v>0</v>
      </c>
      <c r="L431" t="n">
        <v>0.887</v>
      </c>
      <c r="M431" t="n">
        <v>0.113</v>
      </c>
    </row>
    <row r="432" spans="1:13">
      <c r="A432" s="1">
        <f>HYPERLINK("http://www.twitter.com/NathanBLawrence/status/997361382201921537", "997361382201921537")</f>
        <v/>
      </c>
      <c r="B432" s="2" t="n">
        <v>43238.26456018518</v>
      </c>
      <c r="C432" t="n">
        <v>0</v>
      </c>
      <c r="D432" t="n">
        <v>8482</v>
      </c>
      <c r="E432" t="s">
        <v>443</v>
      </c>
      <c r="F432">
        <f>HYPERLINK("https://video.twimg.com/ext_tw_video/996810149187768320/pu/vid/1280x720/QpfrOyzCDzjcf4Lh.mp4?tag=3", "https://video.twimg.com/ext_tw_video/996810149187768320/pu/vid/1280x720/QpfrOyzCDzjcf4Lh.mp4?tag=3")</f>
        <v/>
      </c>
      <c r="G432" t="s"/>
      <c r="H432" t="s"/>
      <c r="I432" t="s"/>
      <c r="J432" t="n">
        <v>0.8908</v>
      </c>
      <c r="K432" t="n">
        <v>0</v>
      </c>
      <c r="L432" t="n">
        <v>0.586</v>
      </c>
      <c r="M432" t="n">
        <v>0.414</v>
      </c>
    </row>
    <row r="433" spans="1:13">
      <c r="A433" s="1">
        <f>HYPERLINK("http://www.twitter.com/NathanBLawrence/status/997355388591857664", "997355388591857664")</f>
        <v/>
      </c>
      <c r="B433" s="2" t="n">
        <v>43238.24802083334</v>
      </c>
      <c r="C433" t="n">
        <v>0</v>
      </c>
      <c r="D433" t="n">
        <v>10</v>
      </c>
      <c r="E433" t="s">
        <v>444</v>
      </c>
      <c r="F433" t="s"/>
      <c r="G433" t="s"/>
      <c r="H433" t="s"/>
      <c r="I433" t="s"/>
      <c r="J433" t="n">
        <v>0.1901</v>
      </c>
      <c r="K433" t="n">
        <v>0</v>
      </c>
      <c r="L433" t="n">
        <v>0.926</v>
      </c>
      <c r="M433" t="n">
        <v>0.074</v>
      </c>
    </row>
    <row r="434" spans="1:13">
      <c r="A434" s="1">
        <f>HYPERLINK("http://www.twitter.com/NathanBLawrence/status/997353577818591232", "997353577818591232")</f>
        <v/>
      </c>
      <c r="B434" s="2" t="n">
        <v>43238.24302083333</v>
      </c>
      <c r="C434" t="n">
        <v>0</v>
      </c>
      <c r="D434" t="n">
        <v>396</v>
      </c>
      <c r="E434" t="s">
        <v>445</v>
      </c>
      <c r="F434" t="s"/>
      <c r="G434" t="s"/>
      <c r="H434" t="s"/>
      <c r="I434" t="s"/>
      <c r="J434" t="n">
        <v>-0.775</v>
      </c>
      <c r="K434" t="n">
        <v>0.257</v>
      </c>
      <c r="L434" t="n">
        <v>0.6909999999999999</v>
      </c>
      <c r="M434" t="n">
        <v>0.052</v>
      </c>
    </row>
    <row r="435" spans="1:13">
      <c r="A435" s="1">
        <f>HYPERLINK("http://www.twitter.com/NathanBLawrence/status/997353512659976193", "997353512659976193")</f>
        <v/>
      </c>
      <c r="B435" s="2" t="n">
        <v>43238.24284722222</v>
      </c>
      <c r="C435" t="n">
        <v>0</v>
      </c>
      <c r="D435" t="n">
        <v>12265</v>
      </c>
      <c r="E435" t="s">
        <v>446</v>
      </c>
      <c r="F435" t="s"/>
      <c r="G435" t="s"/>
      <c r="H435" t="s"/>
      <c r="I435" t="s"/>
      <c r="J435" t="n">
        <v>-0.0959</v>
      </c>
      <c r="K435" t="n">
        <v>0.149</v>
      </c>
      <c r="L435" t="n">
        <v>0.672</v>
      </c>
      <c r="M435" t="n">
        <v>0.179</v>
      </c>
    </row>
    <row r="436" spans="1:13">
      <c r="A436" s="1">
        <f>HYPERLINK("http://www.twitter.com/NathanBLawrence/status/997353475423039489", "997353475423039489")</f>
        <v/>
      </c>
      <c r="B436" s="2" t="n">
        <v>43238.24274305555</v>
      </c>
      <c r="C436" t="n">
        <v>0</v>
      </c>
      <c r="D436" t="n">
        <v>1897</v>
      </c>
      <c r="E436" t="s">
        <v>447</v>
      </c>
      <c r="F436" t="s"/>
      <c r="G436" t="s"/>
      <c r="H436" t="s"/>
      <c r="I436" t="s"/>
      <c r="J436" t="n">
        <v>0</v>
      </c>
      <c r="K436" t="n">
        <v>0</v>
      </c>
      <c r="L436" t="n">
        <v>1</v>
      </c>
      <c r="M436" t="n">
        <v>0</v>
      </c>
    </row>
    <row r="437" spans="1:13">
      <c r="A437" s="1">
        <f>HYPERLINK("http://www.twitter.com/NathanBLawrence/status/997353118869356544", "997353118869356544")</f>
        <v/>
      </c>
      <c r="B437" s="2" t="n">
        <v>43238.24175925926</v>
      </c>
      <c r="C437" t="n">
        <v>0</v>
      </c>
      <c r="D437" t="n">
        <v>2</v>
      </c>
      <c r="E437" t="s">
        <v>448</v>
      </c>
      <c r="F437" t="s"/>
      <c r="G437" t="s"/>
      <c r="H437" t="s"/>
      <c r="I437" t="s"/>
      <c r="J437" t="n">
        <v>-0.2263</v>
      </c>
      <c r="K437" t="n">
        <v>0.079</v>
      </c>
      <c r="L437" t="n">
        <v>0.921</v>
      </c>
      <c r="M437" t="n">
        <v>0</v>
      </c>
    </row>
    <row r="438" spans="1:13">
      <c r="A438" s="1">
        <f>HYPERLINK("http://www.twitter.com/NathanBLawrence/status/997352936513703936", "997352936513703936")</f>
        <v/>
      </c>
      <c r="B438" s="2" t="n">
        <v>43238.24125</v>
      </c>
      <c r="C438" t="n">
        <v>0</v>
      </c>
      <c r="D438" t="n">
        <v>822</v>
      </c>
      <c r="E438" t="s">
        <v>449</v>
      </c>
      <c r="F438" t="s"/>
      <c r="G438" t="s"/>
      <c r="H438" t="s"/>
      <c r="I438" t="s"/>
      <c r="J438" t="n">
        <v>0.7506</v>
      </c>
      <c r="K438" t="n">
        <v>0</v>
      </c>
      <c r="L438" t="n">
        <v>0.766</v>
      </c>
      <c r="M438" t="n">
        <v>0.234</v>
      </c>
    </row>
    <row r="439" spans="1:13">
      <c r="A439" s="1">
        <f>HYPERLINK("http://www.twitter.com/NathanBLawrence/status/997352872781189120", "997352872781189120")</f>
        <v/>
      </c>
      <c r="B439" s="2" t="n">
        <v>43238.24107638889</v>
      </c>
      <c r="C439" t="n">
        <v>1</v>
      </c>
      <c r="D439" t="n">
        <v>1</v>
      </c>
      <c r="E439" t="s">
        <v>450</v>
      </c>
      <c r="F439" t="s"/>
      <c r="G439" t="s"/>
      <c r="H439" t="s"/>
      <c r="I439" t="s"/>
      <c r="J439" t="n">
        <v>0.6662</v>
      </c>
      <c r="K439" t="n">
        <v>0</v>
      </c>
      <c r="L439" t="n">
        <v>0.846</v>
      </c>
      <c r="M439" t="n">
        <v>0.154</v>
      </c>
    </row>
    <row r="440" spans="1:13">
      <c r="A440" s="1">
        <f>HYPERLINK("http://www.twitter.com/NathanBLawrence/status/997352189298401280", "997352189298401280")</f>
        <v/>
      </c>
      <c r="B440" s="2" t="n">
        <v>43238.23918981481</v>
      </c>
      <c r="C440" t="n">
        <v>0</v>
      </c>
      <c r="D440" t="n">
        <v>3</v>
      </c>
      <c r="E440" t="s">
        <v>451</v>
      </c>
      <c r="F440" t="s"/>
      <c r="G440" t="s"/>
      <c r="H440" t="s"/>
      <c r="I440" t="s"/>
      <c r="J440" t="n">
        <v>0.7249</v>
      </c>
      <c r="K440" t="n">
        <v>0</v>
      </c>
      <c r="L440" t="n">
        <v>0.789</v>
      </c>
      <c r="M440" t="n">
        <v>0.211</v>
      </c>
    </row>
    <row r="441" spans="1:13">
      <c r="A441" s="1">
        <f>HYPERLINK("http://www.twitter.com/NathanBLawrence/status/997352026706268160", "997352026706268160")</f>
        <v/>
      </c>
      <c r="B441" s="2" t="n">
        <v>43238.23873842593</v>
      </c>
      <c r="C441" t="n">
        <v>0</v>
      </c>
      <c r="D441" t="n">
        <v>5</v>
      </c>
      <c r="E441" t="s">
        <v>452</v>
      </c>
      <c r="F441" t="s"/>
      <c r="G441" t="s"/>
      <c r="H441" t="s"/>
      <c r="I441" t="s"/>
      <c r="J441" t="n">
        <v>0.3136</v>
      </c>
      <c r="K441" t="n">
        <v>0</v>
      </c>
      <c r="L441" t="n">
        <v>0.86</v>
      </c>
      <c r="M441" t="n">
        <v>0.14</v>
      </c>
    </row>
    <row r="442" spans="1:13">
      <c r="A442" s="1">
        <f>HYPERLINK("http://www.twitter.com/NathanBLawrence/status/997351943617089536", "997351943617089536")</f>
        <v/>
      </c>
      <c r="B442" s="2" t="n">
        <v>43238.23850694444</v>
      </c>
      <c r="C442" t="n">
        <v>0</v>
      </c>
      <c r="D442" t="n">
        <v>8</v>
      </c>
      <c r="E442" t="s">
        <v>453</v>
      </c>
      <c r="F442">
        <f>HYPERLINK("http://pbs.twimg.com/media/DdbYGqaUQAAaabw.jpg", "http://pbs.twimg.com/media/DdbYGqaUQAAaabw.jpg")</f>
        <v/>
      </c>
      <c r="G442" t="s"/>
      <c r="H442" t="s"/>
      <c r="I442" t="s"/>
      <c r="J442" t="n">
        <v>0</v>
      </c>
      <c r="K442" t="n">
        <v>0</v>
      </c>
      <c r="L442" t="n">
        <v>1</v>
      </c>
      <c r="M442" t="n">
        <v>0</v>
      </c>
    </row>
    <row r="443" spans="1:13">
      <c r="A443" s="1">
        <f>HYPERLINK("http://www.twitter.com/NathanBLawrence/status/997343127185879040", "997343127185879040")</f>
        <v/>
      </c>
      <c r="B443" s="2" t="n">
        <v>43238.21417824074</v>
      </c>
      <c r="C443" t="n">
        <v>1</v>
      </c>
      <c r="D443" t="n">
        <v>0</v>
      </c>
      <c r="E443" t="s">
        <v>454</v>
      </c>
      <c r="F443" t="s"/>
      <c r="G443" t="s"/>
      <c r="H443" t="s"/>
      <c r="I443" t="s"/>
      <c r="J443" t="n">
        <v>0</v>
      </c>
      <c r="K443" t="n">
        <v>0</v>
      </c>
      <c r="L443" t="n">
        <v>1</v>
      </c>
      <c r="M443" t="n">
        <v>0</v>
      </c>
    </row>
    <row r="444" spans="1:13">
      <c r="A444" s="1">
        <f>HYPERLINK("http://www.twitter.com/NathanBLawrence/status/997342237632679937", "997342237632679937")</f>
        <v/>
      </c>
      <c r="B444" s="2" t="n">
        <v>43238.21172453704</v>
      </c>
      <c r="C444" t="n">
        <v>0</v>
      </c>
      <c r="D444" t="n">
        <v>389</v>
      </c>
      <c r="E444" t="s">
        <v>455</v>
      </c>
      <c r="F444">
        <f>HYPERLINK("http://pbs.twimg.com/media/DdcDBUhW4AE2Fz-.jpg", "http://pbs.twimg.com/media/DdcDBUhW4AE2Fz-.jpg")</f>
        <v/>
      </c>
      <c r="G444" t="s"/>
      <c r="H444" t="s"/>
      <c r="I444" t="s"/>
      <c r="J444" t="n">
        <v>0</v>
      </c>
      <c r="K444" t="n">
        <v>0</v>
      </c>
      <c r="L444" t="n">
        <v>1</v>
      </c>
      <c r="M444" t="n">
        <v>0</v>
      </c>
    </row>
    <row r="445" spans="1:13">
      <c r="A445" s="1">
        <f>HYPERLINK("http://www.twitter.com/NathanBLawrence/status/997341928499924992", "997341928499924992")</f>
        <v/>
      </c>
      <c r="B445" s="2" t="n">
        <v>43238.21087962963</v>
      </c>
      <c r="C445" t="n">
        <v>0</v>
      </c>
      <c r="D445" t="n">
        <v>5</v>
      </c>
      <c r="E445" t="s">
        <v>456</v>
      </c>
      <c r="F445" t="s"/>
      <c r="G445" t="s"/>
      <c r="H445" t="s"/>
      <c r="I445" t="s"/>
      <c r="J445" t="n">
        <v>-0.1027</v>
      </c>
      <c r="K445" t="n">
        <v>0.06</v>
      </c>
      <c r="L445" t="n">
        <v>0.9399999999999999</v>
      </c>
      <c r="M445" t="n">
        <v>0</v>
      </c>
    </row>
    <row r="446" spans="1:13">
      <c r="A446" s="1">
        <f>HYPERLINK("http://www.twitter.com/NathanBLawrence/status/997340353194848256", "997340353194848256")</f>
        <v/>
      </c>
      <c r="B446" s="2" t="n">
        <v>43238.20652777778</v>
      </c>
      <c r="C446" t="n">
        <v>0</v>
      </c>
      <c r="D446" t="n">
        <v>9</v>
      </c>
      <c r="E446" t="s">
        <v>457</v>
      </c>
      <c r="F446">
        <f>HYPERLINK("http://pbs.twimg.com/media/DdccnAzVQAAw2tx.jpg", "http://pbs.twimg.com/media/DdccnAzVQAAw2tx.jpg")</f>
        <v/>
      </c>
      <c r="G446" t="s"/>
      <c r="H446" t="s"/>
      <c r="I446" t="s"/>
      <c r="J446" t="n">
        <v>0.4939</v>
      </c>
      <c r="K446" t="n">
        <v>0</v>
      </c>
      <c r="L446" t="n">
        <v>0.868</v>
      </c>
      <c r="M446" t="n">
        <v>0.132</v>
      </c>
    </row>
    <row r="447" spans="1:13">
      <c r="A447" s="1">
        <f>HYPERLINK("http://www.twitter.com/NathanBLawrence/status/997340024126476288", "997340024126476288")</f>
        <v/>
      </c>
      <c r="B447" s="2" t="n">
        <v>43238.205625</v>
      </c>
      <c r="C447" t="n">
        <v>0</v>
      </c>
      <c r="D447" t="n">
        <v>7</v>
      </c>
      <c r="E447" t="s">
        <v>458</v>
      </c>
      <c r="F447" t="s"/>
      <c r="G447" t="s"/>
      <c r="H447" t="s"/>
      <c r="I447" t="s"/>
      <c r="J447" t="n">
        <v>-0.4215</v>
      </c>
      <c r="K447" t="n">
        <v>0.141</v>
      </c>
      <c r="L447" t="n">
        <v>0.859</v>
      </c>
      <c r="M447" t="n">
        <v>0</v>
      </c>
    </row>
    <row r="448" spans="1:13">
      <c r="A448" s="1">
        <f>HYPERLINK("http://www.twitter.com/NathanBLawrence/status/997339740146978816", "997339740146978816")</f>
        <v/>
      </c>
      <c r="B448" s="2" t="n">
        <v>43238.20483796296</v>
      </c>
      <c r="C448" t="n">
        <v>0</v>
      </c>
      <c r="D448" t="n">
        <v>6</v>
      </c>
      <c r="E448" t="s">
        <v>459</v>
      </c>
      <c r="F448" t="s"/>
      <c r="G448" t="s"/>
      <c r="H448" t="s"/>
      <c r="I448" t="s"/>
      <c r="J448" t="n">
        <v>-0.5719</v>
      </c>
      <c r="K448" t="n">
        <v>0.144</v>
      </c>
      <c r="L448" t="n">
        <v>0.856</v>
      </c>
      <c r="M448" t="n">
        <v>0</v>
      </c>
    </row>
    <row r="449" spans="1:13">
      <c r="A449" s="1">
        <f>HYPERLINK("http://www.twitter.com/NathanBLawrence/status/997338068041584640", "997338068041584640")</f>
        <v/>
      </c>
      <c r="B449" s="2" t="n">
        <v>43238.2002199074</v>
      </c>
      <c r="C449" t="n">
        <v>0</v>
      </c>
      <c r="D449" t="n">
        <v>3</v>
      </c>
      <c r="E449" t="s">
        <v>460</v>
      </c>
      <c r="F449" t="s"/>
      <c r="G449" t="s"/>
      <c r="H449" t="s"/>
      <c r="I449" t="s"/>
      <c r="J449" t="n">
        <v>-0.3612</v>
      </c>
      <c r="K449" t="n">
        <v>0.098</v>
      </c>
      <c r="L449" t="n">
        <v>0.902</v>
      </c>
      <c r="M449" t="n">
        <v>0</v>
      </c>
    </row>
    <row r="450" spans="1:13">
      <c r="A450" s="1">
        <f>HYPERLINK("http://www.twitter.com/NathanBLawrence/status/997337945475551232", "997337945475551232")</f>
        <v/>
      </c>
      <c r="B450" s="2" t="n">
        <v>43238.19988425926</v>
      </c>
      <c r="C450" t="n">
        <v>0</v>
      </c>
      <c r="D450" t="n">
        <v>1</v>
      </c>
      <c r="E450" t="s">
        <v>461</v>
      </c>
      <c r="F450" t="s"/>
      <c r="G450" t="s"/>
      <c r="H450" t="s"/>
      <c r="I450" t="s"/>
      <c r="J450" t="n">
        <v>-0.3254</v>
      </c>
      <c r="K450" t="n">
        <v>0.1</v>
      </c>
      <c r="L450" t="n">
        <v>0.9</v>
      </c>
      <c r="M450" t="n">
        <v>0</v>
      </c>
    </row>
    <row r="451" spans="1:13">
      <c r="A451" s="1">
        <f>HYPERLINK("http://www.twitter.com/NathanBLawrence/status/997337928555814912", "997337928555814912")</f>
        <v/>
      </c>
      <c r="B451" s="2" t="n">
        <v>43238.19983796297</v>
      </c>
      <c r="C451" t="n">
        <v>0</v>
      </c>
      <c r="D451" t="n">
        <v>1</v>
      </c>
      <c r="E451" t="s">
        <v>462</v>
      </c>
      <c r="F451" t="s"/>
      <c r="G451" t="s"/>
      <c r="H451" t="s"/>
      <c r="I451" t="s"/>
      <c r="J451" t="n">
        <v>0.3527</v>
      </c>
      <c r="K451" t="n">
        <v>0</v>
      </c>
      <c r="L451" t="n">
        <v>0.899</v>
      </c>
      <c r="M451" t="n">
        <v>0.101</v>
      </c>
    </row>
    <row r="452" spans="1:13">
      <c r="A452" s="1">
        <f>HYPERLINK("http://www.twitter.com/NathanBLawrence/status/997337906552475648", "997337906552475648")</f>
        <v/>
      </c>
      <c r="B452" s="2" t="n">
        <v>43238.19978009259</v>
      </c>
      <c r="C452" t="n">
        <v>0</v>
      </c>
      <c r="D452" t="n">
        <v>1</v>
      </c>
      <c r="E452" t="s">
        <v>463</v>
      </c>
      <c r="F452" t="s"/>
      <c r="G452" t="s"/>
      <c r="H452" t="s"/>
      <c r="I452" t="s"/>
      <c r="J452" t="n">
        <v>0.5574</v>
      </c>
      <c r="K452" t="n">
        <v>0</v>
      </c>
      <c r="L452" t="n">
        <v>0.859</v>
      </c>
      <c r="M452" t="n">
        <v>0.141</v>
      </c>
    </row>
    <row r="453" spans="1:13">
      <c r="A453" s="1">
        <f>HYPERLINK("http://www.twitter.com/NathanBLawrence/status/997337890811269120", "997337890811269120")</f>
        <v/>
      </c>
      <c r="B453" s="2" t="n">
        <v>43238.1997337963</v>
      </c>
      <c r="C453" t="n">
        <v>0</v>
      </c>
      <c r="D453" t="n">
        <v>1</v>
      </c>
      <c r="E453" t="s">
        <v>464</v>
      </c>
      <c r="F453" t="s"/>
      <c r="G453" t="s"/>
      <c r="H453" t="s"/>
      <c r="I453" t="s"/>
      <c r="J453" t="n">
        <v>0.6163999999999999</v>
      </c>
      <c r="K453" t="n">
        <v>0</v>
      </c>
      <c r="L453" t="n">
        <v>0.782</v>
      </c>
      <c r="M453" t="n">
        <v>0.218</v>
      </c>
    </row>
    <row r="454" spans="1:13">
      <c r="A454" s="1">
        <f>HYPERLINK("http://www.twitter.com/NathanBLawrence/status/997337869588029440", "997337869588029440")</f>
        <v/>
      </c>
      <c r="B454" s="2" t="n">
        <v>43238.19967592593</v>
      </c>
      <c r="C454" t="n">
        <v>0</v>
      </c>
      <c r="D454" t="n">
        <v>1</v>
      </c>
      <c r="E454" t="s">
        <v>465</v>
      </c>
      <c r="F454" t="s"/>
      <c r="G454" t="s"/>
      <c r="H454" t="s"/>
      <c r="I454" t="s"/>
      <c r="J454" t="n">
        <v>0.8374</v>
      </c>
      <c r="K454" t="n">
        <v>0</v>
      </c>
      <c r="L454" t="n">
        <v>0.744</v>
      </c>
      <c r="M454" t="n">
        <v>0.256</v>
      </c>
    </row>
    <row r="455" spans="1:13">
      <c r="A455" s="1">
        <f>HYPERLINK("http://www.twitter.com/NathanBLawrence/status/997337309510033408", "997337309510033408")</f>
        <v/>
      </c>
      <c r="B455" s="2" t="n">
        <v>43238.198125</v>
      </c>
      <c r="C455" t="n">
        <v>0</v>
      </c>
      <c r="D455" t="n">
        <v>1</v>
      </c>
      <c r="E455" t="s">
        <v>466</v>
      </c>
      <c r="F455" t="s"/>
      <c r="G455" t="s"/>
      <c r="H455" t="s"/>
      <c r="I455" t="s"/>
      <c r="J455" t="n">
        <v>-0.128</v>
      </c>
      <c r="K455" t="n">
        <v>0.109</v>
      </c>
      <c r="L455" t="n">
        <v>0.8</v>
      </c>
      <c r="M455" t="n">
        <v>0.091</v>
      </c>
    </row>
    <row r="456" spans="1:13">
      <c r="A456" s="1">
        <f>HYPERLINK("http://www.twitter.com/NathanBLawrence/status/997336370569007104", "997336370569007104")</f>
        <v/>
      </c>
      <c r="B456" s="2" t="n">
        <v>43238.19554398148</v>
      </c>
      <c r="C456" t="n">
        <v>0</v>
      </c>
      <c r="D456" t="n">
        <v>0</v>
      </c>
      <c r="E456" t="s">
        <v>467</v>
      </c>
      <c r="F456" t="s"/>
      <c r="G456" t="s"/>
      <c r="H456" t="s"/>
      <c r="I456" t="s"/>
      <c r="J456" t="n">
        <v>-0.7088</v>
      </c>
      <c r="K456" t="n">
        <v>0.371</v>
      </c>
      <c r="L456" t="n">
        <v>0.629</v>
      </c>
      <c r="M456" t="n">
        <v>0</v>
      </c>
    </row>
    <row r="457" spans="1:13">
      <c r="A457" s="1">
        <f>HYPERLINK("http://www.twitter.com/NathanBLawrence/status/997335507653808128", "997335507653808128")</f>
        <v/>
      </c>
      <c r="B457" s="2" t="n">
        <v>43238.19315972222</v>
      </c>
      <c r="C457" t="n">
        <v>0</v>
      </c>
      <c r="D457" t="n">
        <v>10</v>
      </c>
      <c r="E457" t="s">
        <v>468</v>
      </c>
      <c r="F457" t="s"/>
      <c r="G457" t="s"/>
      <c r="H457" t="s"/>
      <c r="I457" t="s"/>
      <c r="J457" t="n">
        <v>-0.34</v>
      </c>
      <c r="K457" t="n">
        <v>0.155</v>
      </c>
      <c r="L457" t="n">
        <v>0.762</v>
      </c>
      <c r="M457" t="n">
        <v>0.082</v>
      </c>
    </row>
    <row r="458" spans="1:13">
      <c r="A458" s="1">
        <f>HYPERLINK("http://www.twitter.com/NathanBLawrence/status/997335010846879744", "997335010846879744")</f>
        <v/>
      </c>
      <c r="B458" s="2" t="n">
        <v>43238.1917824074</v>
      </c>
      <c r="C458" t="n">
        <v>0</v>
      </c>
      <c r="D458" t="n">
        <v>5</v>
      </c>
      <c r="E458" t="s">
        <v>469</v>
      </c>
      <c r="F458" t="s"/>
      <c r="G458" t="s"/>
      <c r="H458" t="s"/>
      <c r="I458" t="s"/>
      <c r="J458" t="n">
        <v>0</v>
      </c>
      <c r="K458" t="n">
        <v>0</v>
      </c>
      <c r="L458" t="n">
        <v>1</v>
      </c>
      <c r="M458" t="n">
        <v>0</v>
      </c>
    </row>
    <row r="459" spans="1:13">
      <c r="A459" s="1">
        <f>HYPERLINK("http://www.twitter.com/NathanBLawrence/status/997334904445825024", "997334904445825024")</f>
        <v/>
      </c>
      <c r="B459" s="2" t="n">
        <v>43238.19149305556</v>
      </c>
      <c r="C459" t="n">
        <v>0</v>
      </c>
      <c r="D459" t="n">
        <v>1</v>
      </c>
      <c r="E459" t="s">
        <v>470</v>
      </c>
      <c r="F459" t="s"/>
      <c r="G459" t="s"/>
      <c r="H459" t="s"/>
      <c r="I459" t="s"/>
      <c r="J459" t="n">
        <v>0.4767</v>
      </c>
      <c r="K459" t="n">
        <v>0</v>
      </c>
      <c r="L459" t="n">
        <v>0.83</v>
      </c>
      <c r="M459" t="n">
        <v>0.17</v>
      </c>
    </row>
    <row r="460" spans="1:13">
      <c r="A460" s="1">
        <f>HYPERLINK("http://www.twitter.com/NathanBLawrence/status/997332793821671424", "997332793821671424")</f>
        <v/>
      </c>
      <c r="B460" s="2" t="n">
        <v>43238.1856712963</v>
      </c>
      <c r="C460" t="n">
        <v>0</v>
      </c>
      <c r="D460" t="n">
        <v>0</v>
      </c>
      <c r="E460" t="s">
        <v>471</v>
      </c>
      <c r="F460" t="s"/>
      <c r="G460" t="s"/>
      <c r="H460" t="s"/>
      <c r="I460" t="s"/>
      <c r="J460" t="n">
        <v>-0.6908</v>
      </c>
      <c r="K460" t="n">
        <v>0.155</v>
      </c>
      <c r="L460" t="n">
        <v>0.845</v>
      </c>
      <c r="M460" t="n">
        <v>0</v>
      </c>
    </row>
    <row r="461" spans="1:13">
      <c r="A461" s="1">
        <f>HYPERLINK("http://www.twitter.com/NathanBLawrence/status/997331995519868929", "997331995519868929")</f>
        <v/>
      </c>
      <c r="B461" s="2" t="n">
        <v>43238.18346064815</v>
      </c>
      <c r="C461" t="n">
        <v>0</v>
      </c>
      <c r="D461" t="n">
        <v>0</v>
      </c>
      <c r="E461" t="s">
        <v>472</v>
      </c>
      <c r="F461" t="s"/>
      <c r="G461" t="s"/>
      <c r="H461" t="s"/>
      <c r="I461" t="s"/>
      <c r="J461" t="n">
        <v>-0.2732</v>
      </c>
      <c r="K461" t="n">
        <v>0.091</v>
      </c>
      <c r="L461" t="n">
        <v>0.909</v>
      </c>
      <c r="M461" t="n">
        <v>0</v>
      </c>
    </row>
    <row r="462" spans="1:13">
      <c r="A462" s="1">
        <f>HYPERLINK("http://www.twitter.com/NathanBLawrence/status/997331150287900672", "997331150287900672")</f>
        <v/>
      </c>
      <c r="B462" s="2" t="n">
        <v>43238.18113425926</v>
      </c>
      <c r="C462" t="n">
        <v>1</v>
      </c>
      <c r="D462" t="n">
        <v>0</v>
      </c>
      <c r="E462" t="s">
        <v>473</v>
      </c>
      <c r="F462" t="s"/>
      <c r="G462" t="s"/>
      <c r="H462" t="s"/>
      <c r="I462" t="s"/>
      <c r="J462" t="n">
        <v>-0.8622</v>
      </c>
      <c r="K462" t="n">
        <v>0.249</v>
      </c>
      <c r="L462" t="n">
        <v>0.751</v>
      </c>
      <c r="M462" t="n">
        <v>0</v>
      </c>
    </row>
    <row r="463" spans="1:13">
      <c r="A463" s="1">
        <f>HYPERLINK("http://www.twitter.com/NathanBLawrence/status/997329834157248518", "997329834157248518")</f>
        <v/>
      </c>
      <c r="B463" s="2" t="n">
        <v>43238.1775</v>
      </c>
      <c r="C463" t="n">
        <v>0</v>
      </c>
      <c r="D463" t="n">
        <v>5</v>
      </c>
      <c r="E463" t="s">
        <v>474</v>
      </c>
      <c r="F463">
        <f>HYPERLINK("http://pbs.twimg.com/media/Ddcd8TMXkAEOkz9.jpg", "http://pbs.twimg.com/media/Ddcd8TMXkAEOkz9.jpg")</f>
        <v/>
      </c>
      <c r="G463" t="s"/>
      <c r="H463" t="s"/>
      <c r="I463" t="s"/>
      <c r="J463" t="n">
        <v>0</v>
      </c>
      <c r="K463" t="n">
        <v>0</v>
      </c>
      <c r="L463" t="n">
        <v>1</v>
      </c>
      <c r="M463" t="n">
        <v>0</v>
      </c>
    </row>
    <row r="464" spans="1:13">
      <c r="A464" s="1">
        <f>HYPERLINK("http://www.twitter.com/NathanBLawrence/status/997329594083696641", "997329594083696641")</f>
        <v/>
      </c>
      <c r="B464" s="2" t="n">
        <v>43238.17684027777</v>
      </c>
      <c r="C464" t="n">
        <v>0</v>
      </c>
      <c r="D464" t="n">
        <v>8</v>
      </c>
      <c r="E464" t="s">
        <v>475</v>
      </c>
      <c r="F464" t="s"/>
      <c r="G464" t="s"/>
      <c r="H464" t="s"/>
      <c r="I464" t="s"/>
      <c r="J464" t="n">
        <v>0.0108</v>
      </c>
      <c r="K464" t="n">
        <v>0.08799999999999999</v>
      </c>
      <c r="L464" t="n">
        <v>0.822</v>
      </c>
      <c r="M464" t="n">
        <v>0.09</v>
      </c>
    </row>
    <row r="465" spans="1:13">
      <c r="A465" s="1">
        <f>HYPERLINK("http://www.twitter.com/NathanBLawrence/status/997325885853315072", "997325885853315072")</f>
        <v/>
      </c>
      <c r="B465" s="2" t="n">
        <v>43238.16660879629</v>
      </c>
      <c r="C465" t="n">
        <v>0</v>
      </c>
      <c r="D465" t="n">
        <v>1</v>
      </c>
      <c r="E465" t="s">
        <v>476</v>
      </c>
      <c r="F465" t="s"/>
      <c r="G465" t="s"/>
      <c r="H465" t="s"/>
      <c r="I465" t="s"/>
      <c r="J465" t="n">
        <v>0.3595</v>
      </c>
      <c r="K465" t="n">
        <v>0.112</v>
      </c>
      <c r="L465" t="n">
        <v>0.717</v>
      </c>
      <c r="M465" t="n">
        <v>0.171</v>
      </c>
    </row>
    <row r="466" spans="1:13">
      <c r="A466" s="1">
        <f>HYPERLINK("http://www.twitter.com/NathanBLawrence/status/997325527408050176", "997325527408050176")</f>
        <v/>
      </c>
      <c r="B466" s="2" t="n">
        <v>43238.16561342592</v>
      </c>
      <c r="C466" t="n">
        <v>0</v>
      </c>
      <c r="D466" t="n">
        <v>8</v>
      </c>
      <c r="E466" t="s">
        <v>477</v>
      </c>
      <c r="F466">
        <f>HYPERLINK("http://pbs.twimg.com/media/DdP_J_sVAAE5m9p.jpg", "http://pbs.twimg.com/media/DdP_J_sVAAE5m9p.jpg")</f>
        <v/>
      </c>
      <c r="G466" t="s"/>
      <c r="H466" t="s"/>
      <c r="I466" t="s"/>
      <c r="J466" t="n">
        <v>0</v>
      </c>
      <c r="K466" t="n">
        <v>0</v>
      </c>
      <c r="L466" t="n">
        <v>1</v>
      </c>
      <c r="M466" t="n">
        <v>0</v>
      </c>
    </row>
    <row r="467" spans="1:13">
      <c r="A467" s="1">
        <f>HYPERLINK("http://www.twitter.com/NathanBLawrence/status/997325135664373760", "997325135664373760")</f>
        <v/>
      </c>
      <c r="B467" s="2" t="n">
        <v>43238.16453703704</v>
      </c>
      <c r="C467" t="n">
        <v>0</v>
      </c>
      <c r="D467" t="n">
        <v>16</v>
      </c>
      <c r="E467" t="s">
        <v>478</v>
      </c>
      <c r="F467" t="s"/>
      <c r="G467" t="s"/>
      <c r="H467" t="s"/>
      <c r="I467" t="s"/>
      <c r="J467" t="n">
        <v>-0.5423</v>
      </c>
      <c r="K467" t="n">
        <v>0.153</v>
      </c>
      <c r="L467" t="n">
        <v>0.847</v>
      </c>
      <c r="M467" t="n">
        <v>0</v>
      </c>
    </row>
    <row r="468" spans="1:13">
      <c r="A468" s="1">
        <f>HYPERLINK("http://www.twitter.com/NathanBLawrence/status/997325029993041920", "997325029993041920")</f>
        <v/>
      </c>
      <c r="B468" s="2" t="n">
        <v>43238.16424768518</v>
      </c>
      <c r="C468" t="n">
        <v>0</v>
      </c>
      <c r="D468" t="n">
        <v>3</v>
      </c>
      <c r="E468" t="s">
        <v>479</v>
      </c>
      <c r="F468" t="s"/>
      <c r="G468" t="s"/>
      <c r="H468" t="s"/>
      <c r="I468" t="s"/>
      <c r="J468" t="n">
        <v>0.5994</v>
      </c>
      <c r="K468" t="n">
        <v>0</v>
      </c>
      <c r="L468" t="n">
        <v>0.83</v>
      </c>
      <c r="M468" t="n">
        <v>0.17</v>
      </c>
    </row>
    <row r="469" spans="1:13">
      <c r="A469" s="1">
        <f>HYPERLINK("http://www.twitter.com/NathanBLawrence/status/997325017762488322", "997325017762488322")</f>
        <v/>
      </c>
      <c r="B469" s="2" t="n">
        <v>43238.16421296296</v>
      </c>
      <c r="C469" t="n">
        <v>0</v>
      </c>
      <c r="D469" t="n">
        <v>2</v>
      </c>
      <c r="E469" t="s">
        <v>480</v>
      </c>
      <c r="F469" t="s"/>
      <c r="G469" t="s"/>
      <c r="H469" t="s"/>
      <c r="I469" t="s"/>
      <c r="J469" t="n">
        <v>0.4574</v>
      </c>
      <c r="K469" t="n">
        <v>0</v>
      </c>
      <c r="L469" t="n">
        <v>0.87</v>
      </c>
      <c r="M469" t="n">
        <v>0.13</v>
      </c>
    </row>
    <row r="470" spans="1:13">
      <c r="A470" s="1">
        <f>HYPERLINK("http://www.twitter.com/NathanBLawrence/status/997320152915021824", "997320152915021824")</f>
        <v/>
      </c>
      <c r="B470" s="2" t="n">
        <v>43238.15078703704</v>
      </c>
      <c r="C470" t="n">
        <v>0</v>
      </c>
      <c r="D470" t="n">
        <v>0</v>
      </c>
      <c r="E470" t="s">
        <v>481</v>
      </c>
      <c r="F470" t="s"/>
      <c r="G470" t="s"/>
      <c r="H470" t="s"/>
      <c r="I470" t="s"/>
      <c r="J470" t="n">
        <v>-0.7906</v>
      </c>
      <c r="K470" t="n">
        <v>0.205</v>
      </c>
      <c r="L470" t="n">
        <v>0.705</v>
      </c>
      <c r="M470" t="n">
        <v>0.09</v>
      </c>
    </row>
    <row r="471" spans="1:13">
      <c r="A471" s="1">
        <f>HYPERLINK("http://www.twitter.com/NathanBLawrence/status/997320067355377664", "997320067355377664")</f>
        <v/>
      </c>
      <c r="B471" s="2" t="n">
        <v>43238.15055555556</v>
      </c>
      <c r="C471" t="n">
        <v>1</v>
      </c>
      <c r="D471" t="n">
        <v>0</v>
      </c>
      <c r="E471" t="s">
        <v>482</v>
      </c>
      <c r="F471" t="s"/>
      <c r="G471" t="s"/>
      <c r="H471" t="s"/>
      <c r="I471" t="s"/>
      <c r="J471" t="n">
        <v>-0.7906</v>
      </c>
      <c r="K471" t="n">
        <v>0.205</v>
      </c>
      <c r="L471" t="n">
        <v>0.705</v>
      </c>
      <c r="M471" t="n">
        <v>0.09</v>
      </c>
    </row>
    <row r="472" spans="1:13">
      <c r="A472" s="1">
        <f>HYPERLINK("http://www.twitter.com/NathanBLawrence/status/997317901156790272", "997317901156790272")</f>
        <v/>
      </c>
      <c r="B472" s="2" t="n">
        <v>43238.14457175926</v>
      </c>
      <c r="C472" t="n">
        <v>0</v>
      </c>
      <c r="D472" t="n">
        <v>4</v>
      </c>
      <c r="E472" t="s">
        <v>483</v>
      </c>
      <c r="F472" t="s"/>
      <c r="G472" t="s"/>
      <c r="H472" t="s"/>
      <c r="I472" t="s"/>
      <c r="J472" t="n">
        <v>-0.2462</v>
      </c>
      <c r="K472" t="n">
        <v>0.135</v>
      </c>
      <c r="L472" t="n">
        <v>0.777</v>
      </c>
      <c r="M472" t="n">
        <v>0.08699999999999999</v>
      </c>
    </row>
    <row r="473" spans="1:13">
      <c r="A473" s="1">
        <f>HYPERLINK("http://www.twitter.com/NathanBLawrence/status/997294607351406592", "997294607351406592")</f>
        <v/>
      </c>
      <c r="B473" s="2" t="n">
        <v>43238.08028935185</v>
      </c>
      <c r="C473" t="n">
        <v>1</v>
      </c>
      <c r="D473" t="n">
        <v>1</v>
      </c>
      <c r="E473" t="s">
        <v>484</v>
      </c>
      <c r="F473" t="s"/>
      <c r="G473" t="s"/>
      <c r="H473" t="s"/>
      <c r="I473" t="s"/>
      <c r="J473" t="n">
        <v>-0.2023</v>
      </c>
      <c r="K473" t="n">
        <v>0.07199999999999999</v>
      </c>
      <c r="L473" t="n">
        <v>0.882</v>
      </c>
      <c r="M473" t="n">
        <v>0.046</v>
      </c>
    </row>
    <row r="474" spans="1:13">
      <c r="A474" s="1">
        <f>HYPERLINK("http://www.twitter.com/NathanBLawrence/status/997252845278609413", "997252845278609413")</f>
        <v/>
      </c>
      <c r="B474" s="2" t="n">
        <v>43237.96505787037</v>
      </c>
      <c r="C474" t="n">
        <v>0</v>
      </c>
      <c r="D474" t="n">
        <v>13</v>
      </c>
      <c r="E474" t="s">
        <v>485</v>
      </c>
      <c r="F474" t="s"/>
      <c r="G474" t="s"/>
      <c r="H474" t="s"/>
      <c r="I474" t="s"/>
      <c r="J474" t="n">
        <v>-0.6808</v>
      </c>
      <c r="K474" t="n">
        <v>0.229</v>
      </c>
      <c r="L474" t="n">
        <v>0.714</v>
      </c>
      <c r="M474" t="n">
        <v>0.056</v>
      </c>
    </row>
    <row r="475" spans="1:13">
      <c r="A475" s="1">
        <f>HYPERLINK("http://www.twitter.com/NathanBLawrence/status/997244405181550592", "997244405181550592")</f>
        <v/>
      </c>
      <c r="B475" s="2" t="n">
        <v>43237.94175925926</v>
      </c>
      <c r="C475" t="n">
        <v>0</v>
      </c>
      <c r="D475" t="n">
        <v>15</v>
      </c>
      <c r="E475" t="s">
        <v>486</v>
      </c>
      <c r="F475" t="s"/>
      <c r="G475" t="s"/>
      <c r="H475" t="s"/>
      <c r="I475" t="s"/>
      <c r="J475" t="n">
        <v>-0.3034</v>
      </c>
      <c r="K475" t="n">
        <v>0.122</v>
      </c>
      <c r="L475" t="n">
        <v>0.878</v>
      </c>
      <c r="M475" t="n">
        <v>0</v>
      </c>
    </row>
    <row r="476" spans="1:13">
      <c r="A476" s="1">
        <f>HYPERLINK("http://www.twitter.com/NathanBLawrence/status/997244092512899073", "997244092512899073")</f>
        <v/>
      </c>
      <c r="B476" s="2" t="n">
        <v>43237.94090277778</v>
      </c>
      <c r="C476" t="n">
        <v>0</v>
      </c>
      <c r="D476" t="n">
        <v>8</v>
      </c>
      <c r="E476" t="s">
        <v>487</v>
      </c>
      <c r="F476">
        <f>HYPERLINK("http://pbs.twimg.com/media/DdbkEvOU8AASizv.jpg", "http://pbs.twimg.com/media/DdbkEvOU8AASizv.jpg")</f>
        <v/>
      </c>
      <c r="G476" t="s"/>
      <c r="H476" t="s"/>
      <c r="I476" t="s"/>
      <c r="J476" t="n">
        <v>0</v>
      </c>
      <c r="K476" t="n">
        <v>0</v>
      </c>
      <c r="L476" t="n">
        <v>1</v>
      </c>
      <c r="M476" t="n">
        <v>0</v>
      </c>
    </row>
    <row r="477" spans="1:13">
      <c r="A477" s="1">
        <f>HYPERLINK("http://www.twitter.com/NathanBLawrence/status/997243808634032128", "997243808634032128")</f>
        <v/>
      </c>
      <c r="B477" s="2" t="n">
        <v>43237.94011574074</v>
      </c>
      <c r="C477" t="n">
        <v>0</v>
      </c>
      <c r="D477" t="n">
        <v>2</v>
      </c>
      <c r="E477" t="s">
        <v>488</v>
      </c>
      <c r="F477" t="s"/>
      <c r="G477" t="s"/>
      <c r="H477" t="s"/>
      <c r="I477" t="s"/>
      <c r="J477" t="n">
        <v>0</v>
      </c>
      <c r="K477" t="n">
        <v>0</v>
      </c>
      <c r="L477" t="n">
        <v>1</v>
      </c>
      <c r="M477" t="n">
        <v>0</v>
      </c>
    </row>
    <row r="478" spans="1:13">
      <c r="A478" s="1">
        <f>HYPERLINK("http://www.twitter.com/NathanBLawrence/status/997243619785543680", "997243619785543680")</f>
        <v/>
      </c>
      <c r="B478" s="2" t="n">
        <v>43237.93959490741</v>
      </c>
      <c r="C478" t="n">
        <v>0</v>
      </c>
      <c r="D478" t="n">
        <v>6</v>
      </c>
      <c r="E478" t="s">
        <v>489</v>
      </c>
      <c r="F478" t="s"/>
      <c r="G478" t="s"/>
      <c r="H478" t="s"/>
      <c r="I478" t="s"/>
      <c r="J478" t="n">
        <v>0.4215</v>
      </c>
      <c r="K478" t="n">
        <v>0</v>
      </c>
      <c r="L478" t="n">
        <v>0.865</v>
      </c>
      <c r="M478" t="n">
        <v>0.135</v>
      </c>
    </row>
    <row r="479" spans="1:13">
      <c r="A479" s="1">
        <f>HYPERLINK("http://www.twitter.com/NathanBLawrence/status/997243414033911808", "997243414033911808")</f>
        <v/>
      </c>
      <c r="B479" s="2" t="n">
        <v>43237.93902777778</v>
      </c>
      <c r="C479" t="n">
        <v>0</v>
      </c>
      <c r="D479" t="n">
        <v>5</v>
      </c>
      <c r="E479" t="s">
        <v>490</v>
      </c>
      <c r="F479" t="s"/>
      <c r="G479" t="s"/>
      <c r="H479" t="s"/>
      <c r="I479" t="s"/>
      <c r="J479" t="n">
        <v>0</v>
      </c>
      <c r="K479" t="n">
        <v>0</v>
      </c>
      <c r="L479" t="n">
        <v>1</v>
      </c>
      <c r="M479" t="n">
        <v>0</v>
      </c>
    </row>
    <row r="480" spans="1:13">
      <c r="A480" s="1">
        <f>HYPERLINK("http://www.twitter.com/NathanBLawrence/status/997243199990259713", "997243199990259713")</f>
        <v/>
      </c>
      <c r="B480" s="2" t="n">
        <v>43237.9384375</v>
      </c>
      <c r="C480" t="n">
        <v>0</v>
      </c>
      <c r="D480" t="n">
        <v>10</v>
      </c>
      <c r="E480" t="s">
        <v>491</v>
      </c>
      <c r="F480">
        <f>HYPERLINK("http://pbs.twimg.com/media/DdbikuSU8AAx2P_.jpg", "http://pbs.twimg.com/media/DdbikuSU8AAx2P_.jpg")</f>
        <v/>
      </c>
      <c r="G480" t="s"/>
      <c r="H480" t="s"/>
      <c r="I480" t="s"/>
      <c r="J480" t="n">
        <v>0</v>
      </c>
      <c r="K480" t="n">
        <v>0</v>
      </c>
      <c r="L480" t="n">
        <v>1</v>
      </c>
      <c r="M480" t="n">
        <v>0</v>
      </c>
    </row>
    <row r="481" spans="1:13">
      <c r="A481" s="1">
        <f>HYPERLINK("http://www.twitter.com/NathanBLawrence/status/997241081573101568", "997241081573101568")</f>
        <v/>
      </c>
      <c r="B481" s="2" t="n">
        <v>43237.9325925926</v>
      </c>
      <c r="C481" t="n">
        <v>0</v>
      </c>
      <c r="D481" t="n">
        <v>2</v>
      </c>
      <c r="E481" t="s">
        <v>492</v>
      </c>
      <c r="F481" t="s"/>
      <c r="G481" t="s"/>
      <c r="H481" t="s"/>
      <c r="I481" t="s"/>
      <c r="J481" t="n">
        <v>-0.3612</v>
      </c>
      <c r="K481" t="n">
        <v>0.263</v>
      </c>
      <c r="L481" t="n">
        <v>0.737</v>
      </c>
      <c r="M481" t="n">
        <v>0</v>
      </c>
    </row>
    <row r="482" spans="1:13">
      <c r="A482" s="1">
        <f>HYPERLINK("http://www.twitter.com/NathanBLawrence/status/997241054872199168", "997241054872199168")</f>
        <v/>
      </c>
      <c r="B482" s="2" t="n">
        <v>43237.93251157407</v>
      </c>
      <c r="C482" t="n">
        <v>0</v>
      </c>
      <c r="D482" t="n">
        <v>11</v>
      </c>
      <c r="E482" t="s">
        <v>493</v>
      </c>
      <c r="F482">
        <f>HYPERLINK("http://pbs.twimg.com/media/DdbgJ_hV4AECj2F.jpg", "http://pbs.twimg.com/media/DdbgJ_hV4AECj2F.jpg")</f>
        <v/>
      </c>
      <c r="G482" t="s"/>
      <c r="H482" t="s"/>
      <c r="I482" t="s"/>
      <c r="J482" t="n">
        <v>0.4215</v>
      </c>
      <c r="K482" t="n">
        <v>0</v>
      </c>
      <c r="L482" t="n">
        <v>0.872</v>
      </c>
      <c r="M482" t="n">
        <v>0.128</v>
      </c>
    </row>
    <row r="483" spans="1:13">
      <c r="A483" s="1">
        <f>HYPERLINK("http://www.twitter.com/NathanBLawrence/status/997239548475269122", "997239548475269122")</f>
        <v/>
      </c>
      <c r="B483" s="2" t="n">
        <v>43237.92835648148</v>
      </c>
      <c r="C483" t="n">
        <v>1</v>
      </c>
      <c r="D483" t="n">
        <v>1</v>
      </c>
      <c r="E483" t="s">
        <v>494</v>
      </c>
      <c r="F483" t="s"/>
      <c r="G483" t="s"/>
      <c r="H483" t="s"/>
      <c r="I483" t="s"/>
      <c r="J483" t="n">
        <v>-0.5423</v>
      </c>
      <c r="K483" t="n">
        <v>0.412</v>
      </c>
      <c r="L483" t="n">
        <v>0.588</v>
      </c>
      <c r="M483" t="n">
        <v>0</v>
      </c>
    </row>
    <row r="484" spans="1:13">
      <c r="A484" s="1">
        <f>HYPERLINK("http://www.twitter.com/NathanBLawrence/status/997237450178285575", "997237450178285575")</f>
        <v/>
      </c>
      <c r="B484" s="2" t="n">
        <v>43237.92256944445</v>
      </c>
      <c r="C484" t="n">
        <v>0</v>
      </c>
      <c r="D484" t="n">
        <v>0</v>
      </c>
      <c r="E484" t="s">
        <v>495</v>
      </c>
      <c r="F484">
        <f>HYPERLINK("http://pbs.twimg.com/media/DdbmJpfUQAAyo07.jpg", "http://pbs.twimg.com/media/DdbmJpfUQAAyo07.jpg")</f>
        <v/>
      </c>
      <c r="G484">
        <f>HYPERLINK("http://pbs.twimg.com/media/DdbmKnXVwAAxZZm.jpg", "http://pbs.twimg.com/media/DdbmKnXVwAAxZZm.jpg")</f>
        <v/>
      </c>
      <c r="H484" t="s"/>
      <c r="I484" t="s"/>
      <c r="J484" t="n">
        <v>-0.5423</v>
      </c>
      <c r="K484" t="n">
        <v>0.241</v>
      </c>
      <c r="L484" t="n">
        <v>0.759</v>
      </c>
      <c r="M484" t="n">
        <v>0</v>
      </c>
    </row>
    <row r="485" spans="1:13">
      <c r="A485" s="1">
        <f>HYPERLINK("http://www.twitter.com/NathanBLawrence/status/997236241207889920", "997236241207889920")</f>
        <v/>
      </c>
      <c r="B485" s="2" t="n">
        <v>43237.91923611111</v>
      </c>
      <c r="C485" t="n">
        <v>0</v>
      </c>
      <c r="D485" t="n">
        <v>11</v>
      </c>
      <c r="E485" t="s">
        <v>496</v>
      </c>
      <c r="F485" t="s"/>
      <c r="G485" t="s"/>
      <c r="H485" t="s"/>
      <c r="I485" t="s"/>
      <c r="J485" t="n">
        <v>-0.5106000000000001</v>
      </c>
      <c r="K485" t="n">
        <v>0.142</v>
      </c>
      <c r="L485" t="n">
        <v>0.858</v>
      </c>
      <c r="M485" t="n">
        <v>0</v>
      </c>
    </row>
    <row r="486" spans="1:13">
      <c r="A486" s="1">
        <f>HYPERLINK("http://www.twitter.com/NathanBLawrence/status/997235580152041472", "997235580152041472")</f>
        <v/>
      </c>
      <c r="B486" s="2" t="n">
        <v>43237.91740740741</v>
      </c>
      <c r="C486" t="n">
        <v>0</v>
      </c>
      <c r="D486" t="n">
        <v>9</v>
      </c>
      <c r="E486" t="s">
        <v>497</v>
      </c>
      <c r="F486" t="s"/>
      <c r="G486" t="s"/>
      <c r="H486" t="s"/>
      <c r="I486" t="s"/>
      <c r="J486" t="n">
        <v>0.2081</v>
      </c>
      <c r="K486" t="n">
        <v>0.091</v>
      </c>
      <c r="L486" t="n">
        <v>0.782</v>
      </c>
      <c r="M486" t="n">
        <v>0.127</v>
      </c>
    </row>
    <row r="487" spans="1:13">
      <c r="A487" s="1">
        <f>HYPERLINK("http://www.twitter.com/NathanBLawrence/status/997234912083304448", "997234912083304448")</f>
        <v/>
      </c>
      <c r="B487" s="2" t="n">
        <v>43237.91556712963</v>
      </c>
      <c r="C487" t="n">
        <v>0</v>
      </c>
      <c r="D487" t="n">
        <v>5</v>
      </c>
      <c r="E487" t="s">
        <v>498</v>
      </c>
      <c r="F487" t="s"/>
      <c r="G487" t="s"/>
      <c r="H487" t="s"/>
      <c r="I487" t="s"/>
      <c r="J487" t="n">
        <v>-0.3875</v>
      </c>
      <c r="K487" t="n">
        <v>0.095</v>
      </c>
      <c r="L487" t="n">
        <v>0.905</v>
      </c>
      <c r="M487" t="n">
        <v>0</v>
      </c>
    </row>
    <row r="488" spans="1:13">
      <c r="A488" s="1">
        <f>HYPERLINK("http://www.twitter.com/NathanBLawrence/status/997234563570159619", "997234563570159619")</f>
        <v/>
      </c>
      <c r="B488" s="2" t="n">
        <v>43237.91460648148</v>
      </c>
      <c r="C488" t="n">
        <v>0</v>
      </c>
      <c r="D488" t="n">
        <v>2</v>
      </c>
      <c r="E488" t="s">
        <v>499</v>
      </c>
      <c r="F488" t="s"/>
      <c r="G488" t="s"/>
      <c r="H488" t="s"/>
      <c r="I488" t="s"/>
      <c r="J488" t="n">
        <v>0</v>
      </c>
      <c r="K488" t="n">
        <v>0</v>
      </c>
      <c r="L488" t="n">
        <v>1</v>
      </c>
      <c r="M488" t="n">
        <v>0</v>
      </c>
    </row>
    <row r="489" spans="1:13">
      <c r="A489" s="1">
        <f>HYPERLINK("http://www.twitter.com/NathanBLawrence/status/997234530254774273", "997234530254774273")</f>
        <v/>
      </c>
      <c r="B489" s="2" t="n">
        <v>43237.91451388889</v>
      </c>
      <c r="C489" t="n">
        <v>0</v>
      </c>
      <c r="D489" t="n">
        <v>2</v>
      </c>
      <c r="E489" t="s">
        <v>500</v>
      </c>
      <c r="F489" t="s"/>
      <c r="G489" t="s"/>
      <c r="H489" t="s"/>
      <c r="I489" t="s"/>
      <c r="J489" t="n">
        <v>0</v>
      </c>
      <c r="K489" t="n">
        <v>0</v>
      </c>
      <c r="L489" t="n">
        <v>1</v>
      </c>
      <c r="M489" t="n">
        <v>0</v>
      </c>
    </row>
    <row r="490" spans="1:13">
      <c r="A490" s="1">
        <f>HYPERLINK("http://www.twitter.com/NathanBLawrence/status/997234484239110145", "997234484239110145")</f>
        <v/>
      </c>
      <c r="B490" s="2" t="n">
        <v>43237.91438657408</v>
      </c>
      <c r="C490" t="n">
        <v>0</v>
      </c>
      <c r="D490" t="n">
        <v>13</v>
      </c>
      <c r="E490" t="s">
        <v>501</v>
      </c>
      <c r="F490">
        <f>HYPERLINK("http://pbs.twimg.com/media/DdaLr1qWAAEVRSp.jpg", "http://pbs.twimg.com/media/DdaLr1qWAAEVRSp.jpg")</f>
        <v/>
      </c>
      <c r="G490" t="s"/>
      <c r="H490" t="s"/>
      <c r="I490" t="s"/>
      <c r="J490" t="n">
        <v>-0.743</v>
      </c>
      <c r="K490" t="n">
        <v>0.215</v>
      </c>
      <c r="L490" t="n">
        <v>0.785</v>
      </c>
      <c r="M490" t="n">
        <v>0</v>
      </c>
    </row>
    <row r="491" spans="1:13">
      <c r="A491" s="1">
        <f>HYPERLINK("http://www.twitter.com/NathanBLawrence/status/997234364168720384", "997234364168720384")</f>
        <v/>
      </c>
      <c r="B491" s="2" t="n">
        <v>43237.91405092592</v>
      </c>
      <c r="C491" t="n">
        <v>0</v>
      </c>
      <c r="D491" t="n">
        <v>14</v>
      </c>
      <c r="E491" t="s">
        <v>502</v>
      </c>
      <c r="F491">
        <f>HYPERLINK("http://pbs.twimg.com/media/DdaK-l4X4AAOE7u.jpg", "http://pbs.twimg.com/media/DdaK-l4X4AAOE7u.jpg")</f>
        <v/>
      </c>
      <c r="G491" t="s"/>
      <c r="H491" t="s"/>
      <c r="I491" t="s"/>
      <c r="J491" t="n">
        <v>0</v>
      </c>
      <c r="K491" t="n">
        <v>0</v>
      </c>
      <c r="L491" t="n">
        <v>1</v>
      </c>
      <c r="M491" t="n">
        <v>0</v>
      </c>
    </row>
    <row r="492" spans="1:13">
      <c r="A492" s="1">
        <f>HYPERLINK("http://www.twitter.com/NathanBLawrence/status/997234316357890054", "997234316357890054")</f>
        <v/>
      </c>
      <c r="B492" s="2" t="n">
        <v>43237.91392361111</v>
      </c>
      <c r="C492" t="n">
        <v>0</v>
      </c>
      <c r="D492" t="n">
        <v>13</v>
      </c>
      <c r="E492" t="s">
        <v>503</v>
      </c>
      <c r="F492">
        <f>HYPERLINK("http://pbs.twimg.com/media/DdaJzzkWkAE93J5.jpg", "http://pbs.twimg.com/media/DdaJzzkWkAE93J5.jpg")</f>
        <v/>
      </c>
      <c r="G492" t="s"/>
      <c r="H492" t="s"/>
      <c r="I492" t="s"/>
      <c r="J492" t="n">
        <v>0.504</v>
      </c>
      <c r="K492" t="n">
        <v>0</v>
      </c>
      <c r="L492" t="n">
        <v>0.876</v>
      </c>
      <c r="M492" t="n">
        <v>0.124</v>
      </c>
    </row>
    <row r="493" spans="1:13">
      <c r="A493" s="1">
        <f>HYPERLINK("http://www.twitter.com/NathanBLawrence/status/997234225727361024", "997234225727361024")</f>
        <v/>
      </c>
      <c r="B493" s="2" t="n">
        <v>43237.91366898148</v>
      </c>
      <c r="C493" t="n">
        <v>0</v>
      </c>
      <c r="D493" t="n">
        <v>15</v>
      </c>
      <c r="E493" t="s">
        <v>504</v>
      </c>
      <c r="F493">
        <f>HYPERLINK("http://pbs.twimg.com/media/DdYvJn3W0AAXQvk.jpg", "http://pbs.twimg.com/media/DdYvJn3W0AAXQvk.jpg")</f>
        <v/>
      </c>
      <c r="G493" t="s"/>
      <c r="H493" t="s"/>
      <c r="I493" t="s"/>
      <c r="J493" t="n">
        <v>0.3612</v>
      </c>
      <c r="K493" t="n">
        <v>0.116</v>
      </c>
      <c r="L493" t="n">
        <v>0.6830000000000001</v>
      </c>
      <c r="M493" t="n">
        <v>0.201</v>
      </c>
    </row>
    <row r="494" spans="1:13">
      <c r="A494" s="1">
        <f>HYPERLINK("http://www.twitter.com/NathanBLawrence/status/997234138196381700", "997234138196381700")</f>
        <v/>
      </c>
      <c r="B494" s="2" t="n">
        <v>43237.91342592592</v>
      </c>
      <c r="C494" t="n">
        <v>0</v>
      </c>
      <c r="D494" t="n">
        <v>1</v>
      </c>
      <c r="E494" t="s">
        <v>505</v>
      </c>
      <c r="F494" t="s"/>
      <c r="G494" t="s"/>
      <c r="H494" t="s"/>
      <c r="I494" t="s"/>
      <c r="J494" t="n">
        <v>0</v>
      </c>
      <c r="K494" t="n">
        <v>0</v>
      </c>
      <c r="L494" t="n">
        <v>1</v>
      </c>
      <c r="M494" t="n">
        <v>0</v>
      </c>
    </row>
    <row r="495" spans="1:13">
      <c r="A495" s="1">
        <f>HYPERLINK("http://www.twitter.com/NathanBLawrence/status/997234020235833346", "997234020235833346")</f>
        <v/>
      </c>
      <c r="B495" s="2" t="n">
        <v>43237.91310185185</v>
      </c>
      <c r="C495" t="n">
        <v>0</v>
      </c>
      <c r="D495" t="n">
        <v>13</v>
      </c>
      <c r="E495" t="s">
        <v>506</v>
      </c>
      <c r="F495">
        <f>HYPERLINK("http://pbs.twimg.com/media/DdaUHBUVAAA9WDr.jpg", "http://pbs.twimg.com/media/DdaUHBUVAAA9WDr.jpg")</f>
        <v/>
      </c>
      <c r="G495" t="s"/>
      <c r="H495" t="s"/>
      <c r="I495" t="s"/>
      <c r="J495" t="n">
        <v>0.4019</v>
      </c>
      <c r="K495" t="n">
        <v>0</v>
      </c>
      <c r="L495" t="n">
        <v>0.881</v>
      </c>
      <c r="M495" t="n">
        <v>0.119</v>
      </c>
    </row>
    <row r="496" spans="1:13">
      <c r="A496" s="1">
        <f>HYPERLINK("http://www.twitter.com/NathanBLawrence/status/997233319489232901", "997233319489232901")</f>
        <v/>
      </c>
      <c r="B496" s="2" t="n">
        <v>43237.91116898148</v>
      </c>
      <c r="C496" t="n">
        <v>0</v>
      </c>
      <c r="D496" t="n">
        <v>12</v>
      </c>
      <c r="E496" t="s">
        <v>507</v>
      </c>
      <c r="F496">
        <f>HYPERLINK("http://pbs.twimg.com/media/DdaZt6HV4AE7iVw.jpg", "http://pbs.twimg.com/media/DdaZt6HV4AE7iVw.jpg")</f>
        <v/>
      </c>
      <c r="G496" t="s"/>
      <c r="H496" t="s"/>
      <c r="I496" t="s"/>
      <c r="J496" t="n">
        <v>-0.3612</v>
      </c>
      <c r="K496" t="n">
        <v>0.106</v>
      </c>
      <c r="L496" t="n">
        <v>0.894</v>
      </c>
      <c r="M496" t="n">
        <v>0</v>
      </c>
    </row>
    <row r="497" spans="1:13">
      <c r="A497" s="1">
        <f>HYPERLINK("http://www.twitter.com/NathanBLawrence/status/997231409432588288", "997231409432588288")</f>
        <v/>
      </c>
      <c r="B497" s="2" t="n">
        <v>43237.90590277778</v>
      </c>
      <c r="C497" t="n">
        <v>0</v>
      </c>
      <c r="D497" t="n">
        <v>0</v>
      </c>
      <c r="E497" t="s">
        <v>508</v>
      </c>
      <c r="F497" t="s"/>
      <c r="G497" t="s"/>
      <c r="H497" t="s"/>
      <c r="I497" t="s"/>
      <c r="J497" t="n">
        <v>-0.4019</v>
      </c>
      <c r="K497" t="n">
        <v>0.204</v>
      </c>
      <c r="L497" t="n">
        <v>0.636</v>
      </c>
      <c r="M497" t="n">
        <v>0.16</v>
      </c>
    </row>
    <row r="498" spans="1:13">
      <c r="A498" s="1">
        <f>HYPERLINK("http://www.twitter.com/NathanBLawrence/status/997230260184866816", "997230260184866816")</f>
        <v/>
      </c>
      <c r="B498" s="2" t="n">
        <v>43237.90273148148</v>
      </c>
      <c r="C498" t="n">
        <v>0</v>
      </c>
      <c r="D498" t="n">
        <v>0</v>
      </c>
      <c r="E498" t="s">
        <v>509</v>
      </c>
      <c r="F498" t="s"/>
      <c r="G498" t="s"/>
      <c r="H498" t="s"/>
      <c r="I498" t="s"/>
      <c r="J498" t="n">
        <v>0</v>
      </c>
      <c r="K498" t="n">
        <v>0</v>
      </c>
      <c r="L498" t="n">
        <v>1</v>
      </c>
      <c r="M498" t="n">
        <v>0</v>
      </c>
    </row>
    <row r="499" spans="1:13">
      <c r="A499" s="1">
        <f>HYPERLINK("http://www.twitter.com/NathanBLawrence/status/997230221660246017", "997230221660246017")</f>
        <v/>
      </c>
      <c r="B499" s="2" t="n">
        <v>43237.90262731481</v>
      </c>
      <c r="C499" t="n">
        <v>0</v>
      </c>
      <c r="D499" t="n">
        <v>7</v>
      </c>
      <c r="E499" t="s">
        <v>510</v>
      </c>
      <c r="F499" t="s"/>
      <c r="G499" t="s"/>
      <c r="H499" t="s"/>
      <c r="I499" t="s"/>
      <c r="J499" t="n">
        <v>0.5688</v>
      </c>
      <c r="K499" t="n">
        <v>0</v>
      </c>
      <c r="L499" t="n">
        <v>0.794</v>
      </c>
      <c r="M499" t="n">
        <v>0.206</v>
      </c>
    </row>
    <row r="500" spans="1:13">
      <c r="A500" s="1">
        <f>HYPERLINK("http://www.twitter.com/NathanBLawrence/status/997228809257738240", "997228809257738240")</f>
        <v/>
      </c>
      <c r="B500" s="2" t="n">
        <v>43237.89872685185</v>
      </c>
      <c r="C500" t="n">
        <v>0</v>
      </c>
      <c r="D500" t="n">
        <v>1</v>
      </c>
      <c r="E500" t="s">
        <v>511</v>
      </c>
      <c r="F500" t="s"/>
      <c r="G500" t="s"/>
      <c r="H500" t="s"/>
      <c r="I500" t="s"/>
      <c r="J500" t="n">
        <v>0</v>
      </c>
      <c r="K500" t="n">
        <v>0</v>
      </c>
      <c r="L500" t="n">
        <v>1</v>
      </c>
      <c r="M500" t="n">
        <v>0</v>
      </c>
    </row>
    <row r="501" spans="1:13">
      <c r="A501" s="1">
        <f>HYPERLINK("http://www.twitter.com/NathanBLawrence/status/997228777271853058", "997228777271853058")</f>
        <v/>
      </c>
      <c r="B501" s="2" t="n">
        <v>43237.89863425926</v>
      </c>
      <c r="C501" t="n">
        <v>0</v>
      </c>
      <c r="D501" t="n">
        <v>7</v>
      </c>
      <c r="E501" t="s">
        <v>512</v>
      </c>
      <c r="F501" t="s"/>
      <c r="G501" t="s"/>
      <c r="H501" t="s"/>
      <c r="I501" t="s"/>
      <c r="J501" t="n">
        <v>0.4939</v>
      </c>
      <c r="K501" t="n">
        <v>0.076</v>
      </c>
      <c r="L501" t="n">
        <v>0.76</v>
      </c>
      <c r="M501" t="n">
        <v>0.164</v>
      </c>
    </row>
    <row r="502" spans="1:13">
      <c r="A502" s="1">
        <f>HYPERLINK("http://www.twitter.com/NathanBLawrence/status/997227684651589634", "997227684651589634")</f>
        <v/>
      </c>
      <c r="B502" s="2" t="n">
        <v>43237.895625</v>
      </c>
      <c r="C502" t="n">
        <v>0</v>
      </c>
      <c r="D502" t="n">
        <v>15</v>
      </c>
      <c r="E502" t="s">
        <v>513</v>
      </c>
      <c r="F502" t="s"/>
      <c r="G502" t="s"/>
      <c r="H502" t="s"/>
      <c r="I502" t="s"/>
      <c r="J502" t="n">
        <v>0.1477</v>
      </c>
      <c r="K502" t="n">
        <v>0.108</v>
      </c>
      <c r="L502" t="n">
        <v>0.73</v>
      </c>
      <c r="M502" t="n">
        <v>0.163</v>
      </c>
    </row>
    <row r="503" spans="1:13">
      <c r="A503" s="1">
        <f>HYPERLINK("http://www.twitter.com/NathanBLawrence/status/997227272011739136", "997227272011739136")</f>
        <v/>
      </c>
      <c r="B503" s="2" t="n">
        <v>43237.89447916667</v>
      </c>
      <c r="C503" t="n">
        <v>0</v>
      </c>
      <c r="D503" t="n">
        <v>0</v>
      </c>
      <c r="E503" t="s">
        <v>514</v>
      </c>
      <c r="F503" t="s"/>
      <c r="G503" t="s"/>
      <c r="H503" t="s"/>
      <c r="I503" t="s"/>
      <c r="J503" t="n">
        <v>0</v>
      </c>
      <c r="K503" t="n">
        <v>0</v>
      </c>
      <c r="L503" t="n">
        <v>1</v>
      </c>
      <c r="M503" t="n">
        <v>0</v>
      </c>
    </row>
    <row r="504" spans="1:13">
      <c r="A504" s="1">
        <f>HYPERLINK("http://www.twitter.com/NathanBLawrence/status/997227229712089088", "997227229712089088")</f>
        <v/>
      </c>
      <c r="B504" s="2" t="n">
        <v>43237.89436342593</v>
      </c>
      <c r="C504" t="n">
        <v>0</v>
      </c>
      <c r="D504" t="n">
        <v>7</v>
      </c>
      <c r="E504" t="s">
        <v>515</v>
      </c>
      <c r="F504" t="s"/>
      <c r="G504" t="s"/>
      <c r="H504" t="s"/>
      <c r="I504" t="s"/>
      <c r="J504" t="n">
        <v>-0.1832</v>
      </c>
      <c r="K504" t="n">
        <v>0.117</v>
      </c>
      <c r="L504" t="n">
        <v>0.793</v>
      </c>
      <c r="M504" t="n">
        <v>0.09</v>
      </c>
    </row>
    <row r="505" spans="1:13">
      <c r="A505" s="1">
        <f>HYPERLINK("http://www.twitter.com/NathanBLawrence/status/997227115136389120", "997227115136389120")</f>
        <v/>
      </c>
      <c r="B505" s="2" t="n">
        <v>43237.89405092593</v>
      </c>
      <c r="C505" t="n">
        <v>0</v>
      </c>
      <c r="D505" t="n">
        <v>308</v>
      </c>
      <c r="E505" t="s">
        <v>516</v>
      </c>
      <c r="F505">
        <f>HYPERLINK("https://video.twimg.com/ext_tw_video/997201208304521216/pu/vid/240x240/UkHll7I_gi6X5Sry.mp4?tag=3", "https://video.twimg.com/ext_tw_video/997201208304521216/pu/vid/240x240/UkHll7I_gi6X5Sry.mp4?tag=3")</f>
        <v/>
      </c>
      <c r="G505" t="s"/>
      <c r="H505" t="s"/>
      <c r="I505" t="s"/>
      <c r="J505" t="n">
        <v>0.5719</v>
      </c>
      <c r="K505" t="n">
        <v>0</v>
      </c>
      <c r="L505" t="n">
        <v>0.793</v>
      </c>
      <c r="M505" t="n">
        <v>0.207</v>
      </c>
    </row>
    <row r="506" spans="1:13">
      <c r="A506" s="1">
        <f>HYPERLINK("http://www.twitter.com/NathanBLawrence/status/997226504798031872", "997226504798031872")</f>
        <v/>
      </c>
      <c r="B506" s="2" t="n">
        <v>43237.89236111111</v>
      </c>
      <c r="C506" t="n">
        <v>0</v>
      </c>
      <c r="D506" t="n">
        <v>0</v>
      </c>
      <c r="E506" t="s">
        <v>517</v>
      </c>
      <c r="F506" t="s"/>
      <c r="G506" t="s"/>
      <c r="H506" t="s"/>
      <c r="I506" t="s"/>
      <c r="J506" t="n">
        <v>-0.6878</v>
      </c>
      <c r="K506" t="n">
        <v>0.2</v>
      </c>
      <c r="L506" t="n">
        <v>0.762</v>
      </c>
      <c r="M506" t="n">
        <v>0.038</v>
      </c>
    </row>
    <row r="507" spans="1:13">
      <c r="A507" s="1">
        <f>HYPERLINK("http://www.twitter.com/NathanBLawrence/status/997226027175858177", "997226027175858177")</f>
        <v/>
      </c>
      <c r="B507" s="2" t="n">
        <v>43237.89105324074</v>
      </c>
      <c r="C507" t="n">
        <v>0</v>
      </c>
      <c r="D507" t="n">
        <v>0</v>
      </c>
      <c r="E507" t="s">
        <v>518</v>
      </c>
      <c r="F507" t="s"/>
      <c r="G507" t="s"/>
      <c r="H507" t="s"/>
      <c r="I507" t="s"/>
      <c r="J507" t="n">
        <v>0.1343</v>
      </c>
      <c r="K507" t="n">
        <v>0</v>
      </c>
      <c r="L507" t="n">
        <v>0.929</v>
      </c>
      <c r="M507" t="n">
        <v>0.07099999999999999</v>
      </c>
    </row>
    <row r="508" spans="1:13">
      <c r="A508" s="1">
        <f>HYPERLINK("http://www.twitter.com/NathanBLawrence/status/997224800849465344", "997224800849465344")</f>
        <v/>
      </c>
      <c r="B508" s="2" t="n">
        <v>43237.88766203704</v>
      </c>
      <c r="C508" t="n">
        <v>0</v>
      </c>
      <c r="D508" t="n">
        <v>0</v>
      </c>
      <c r="E508" t="s">
        <v>519</v>
      </c>
      <c r="F508" t="s"/>
      <c r="G508" t="s"/>
      <c r="H508" t="s"/>
      <c r="I508" t="s"/>
      <c r="J508" t="n">
        <v>-0.7766</v>
      </c>
      <c r="K508" t="n">
        <v>0.157</v>
      </c>
      <c r="L508" t="n">
        <v>0.8179999999999999</v>
      </c>
      <c r="M508" t="n">
        <v>0.026</v>
      </c>
    </row>
    <row r="509" spans="1:13">
      <c r="A509" s="1">
        <f>HYPERLINK("http://www.twitter.com/NathanBLawrence/status/997223396709724160", "997223396709724160")</f>
        <v/>
      </c>
      <c r="B509" s="2" t="n">
        <v>43237.88378472222</v>
      </c>
      <c r="C509" t="n">
        <v>0</v>
      </c>
      <c r="D509" t="n">
        <v>0</v>
      </c>
      <c r="E509" t="s">
        <v>520</v>
      </c>
      <c r="F509">
        <f>HYPERLINK("http://pbs.twimg.com/media/DdbZSInV0AAkEnr.jpg", "http://pbs.twimg.com/media/DdbZSInV0AAkEnr.jpg")</f>
        <v/>
      </c>
      <c r="G509" t="s"/>
      <c r="H509" t="s"/>
      <c r="I509" t="s"/>
      <c r="J509" t="n">
        <v>-0.5228</v>
      </c>
      <c r="K509" t="n">
        <v>0.257</v>
      </c>
      <c r="L509" t="n">
        <v>0.661</v>
      </c>
      <c r="M509" t="n">
        <v>0.083</v>
      </c>
    </row>
    <row r="510" spans="1:13">
      <c r="A510" s="1">
        <f>HYPERLINK("http://www.twitter.com/NathanBLawrence/status/997223058766270464", "997223058766270464")</f>
        <v/>
      </c>
      <c r="B510" s="2" t="n">
        <v>43237.8828587963</v>
      </c>
      <c r="C510" t="n">
        <v>0</v>
      </c>
      <c r="D510" t="n">
        <v>0</v>
      </c>
      <c r="E510" t="s">
        <v>521</v>
      </c>
      <c r="F510" t="s"/>
      <c r="G510" t="s"/>
      <c r="H510" t="s"/>
      <c r="I510" t="s"/>
      <c r="J510" t="n">
        <v>-0.3346</v>
      </c>
      <c r="K510" t="n">
        <v>0.106</v>
      </c>
      <c r="L510" t="n">
        <v>0.847</v>
      </c>
      <c r="M510" t="n">
        <v>0.048</v>
      </c>
    </row>
    <row r="511" spans="1:13">
      <c r="A511" s="1">
        <f>HYPERLINK("http://www.twitter.com/NathanBLawrence/status/997222574986842113", "997222574986842113")</f>
        <v/>
      </c>
      <c r="B511" s="2" t="n">
        <v>43237.88152777778</v>
      </c>
      <c r="C511" t="n">
        <v>1</v>
      </c>
      <c r="D511" t="n">
        <v>1</v>
      </c>
      <c r="E511" t="s">
        <v>522</v>
      </c>
      <c r="F511" t="s"/>
      <c r="G511" t="s"/>
      <c r="H511" t="s"/>
      <c r="I511" t="s"/>
      <c r="J511" t="n">
        <v>-0.7894</v>
      </c>
      <c r="K511" t="n">
        <v>0.202</v>
      </c>
      <c r="L511" t="n">
        <v>0.679</v>
      </c>
      <c r="M511" t="n">
        <v>0.119</v>
      </c>
    </row>
    <row r="512" spans="1:13">
      <c r="A512" s="1">
        <f>HYPERLINK("http://www.twitter.com/NathanBLawrence/status/997218022275407874", "997218022275407874")</f>
        <v/>
      </c>
      <c r="B512" s="2" t="n">
        <v>43237.86895833333</v>
      </c>
      <c r="C512" t="n">
        <v>0</v>
      </c>
      <c r="D512" t="n">
        <v>2</v>
      </c>
      <c r="E512" t="s">
        <v>523</v>
      </c>
      <c r="F512" t="s"/>
      <c r="G512" t="s"/>
      <c r="H512" t="s"/>
      <c r="I512" t="s"/>
      <c r="J512" t="n">
        <v>0</v>
      </c>
      <c r="K512" t="n">
        <v>0</v>
      </c>
      <c r="L512" t="n">
        <v>1</v>
      </c>
      <c r="M512" t="n">
        <v>0</v>
      </c>
    </row>
    <row r="513" spans="1:13">
      <c r="A513" s="1">
        <f>HYPERLINK("http://www.twitter.com/NathanBLawrence/status/997217968932245510", "997217968932245510")</f>
        <v/>
      </c>
      <c r="B513" s="2" t="n">
        <v>43237.86880787037</v>
      </c>
      <c r="C513" t="n">
        <v>1</v>
      </c>
      <c r="D513" t="n">
        <v>2</v>
      </c>
      <c r="E513" t="s">
        <v>524</v>
      </c>
      <c r="F513" t="s"/>
      <c r="G513" t="s"/>
      <c r="H513" t="s"/>
      <c r="I513" t="s"/>
      <c r="J513" t="n">
        <v>0</v>
      </c>
      <c r="K513" t="n">
        <v>0</v>
      </c>
      <c r="L513" t="n">
        <v>1</v>
      </c>
      <c r="M513" t="n">
        <v>0</v>
      </c>
    </row>
    <row r="514" spans="1:13">
      <c r="A514" s="1">
        <f>HYPERLINK("http://www.twitter.com/NathanBLawrence/status/997217394002186240", "997217394002186240")</f>
        <v/>
      </c>
      <c r="B514" s="2" t="n">
        <v>43237.86722222222</v>
      </c>
      <c r="C514" t="n">
        <v>0</v>
      </c>
      <c r="D514" t="n">
        <v>13</v>
      </c>
      <c r="E514" t="s">
        <v>525</v>
      </c>
      <c r="F514">
        <f>HYPERLINK("https://video.twimg.com/ext_tw_video/997202367824084993/pu/vid/240x240/W8QrrZx51cAl8PDE.mp4?tag=3", "https://video.twimg.com/ext_tw_video/997202367824084993/pu/vid/240x240/W8QrrZx51cAl8PDE.mp4?tag=3")</f>
        <v/>
      </c>
      <c r="G514" t="s"/>
      <c r="H514" t="s"/>
      <c r="I514" t="s"/>
      <c r="J514" t="n">
        <v>0.4767</v>
      </c>
      <c r="K514" t="n">
        <v>0</v>
      </c>
      <c r="L514" t="n">
        <v>0.881</v>
      </c>
      <c r="M514" t="n">
        <v>0.119</v>
      </c>
    </row>
    <row r="515" spans="1:13">
      <c r="A515" s="1">
        <f>HYPERLINK("http://www.twitter.com/NathanBLawrence/status/997217338595344385", "997217338595344385")</f>
        <v/>
      </c>
      <c r="B515" s="2" t="n">
        <v>43237.86707175926</v>
      </c>
      <c r="C515" t="n">
        <v>0</v>
      </c>
      <c r="D515" t="n">
        <v>7</v>
      </c>
      <c r="E515" t="s">
        <v>526</v>
      </c>
      <c r="F515">
        <f>HYPERLINK("https://video.twimg.com/ext_tw_video/997196937081204736/pu/vid/240x240/B5IeuqLZUqG1jB6T.mp4?tag=3", "https://video.twimg.com/ext_tw_video/997196937081204736/pu/vid/240x240/B5IeuqLZUqG1jB6T.mp4?tag=3")</f>
        <v/>
      </c>
      <c r="G515" t="s"/>
      <c r="H515" t="s"/>
      <c r="I515" t="s"/>
      <c r="J515" t="n">
        <v>0.6696</v>
      </c>
      <c r="K515" t="n">
        <v>0</v>
      </c>
      <c r="L515" t="n">
        <v>0.8070000000000001</v>
      </c>
      <c r="M515" t="n">
        <v>0.193</v>
      </c>
    </row>
    <row r="516" spans="1:13">
      <c r="A516" s="1">
        <f>HYPERLINK("http://www.twitter.com/NathanBLawrence/status/997217279371890689", "997217279371890689")</f>
        <v/>
      </c>
      <c r="B516" s="2" t="n">
        <v>43237.86690972222</v>
      </c>
      <c r="C516" t="n">
        <v>0</v>
      </c>
      <c r="D516" t="n">
        <v>7</v>
      </c>
      <c r="E516" t="s">
        <v>527</v>
      </c>
      <c r="F516">
        <f>HYPERLINK("https://video.twimg.com/ext_tw_video/997195990133129217/pu/vid/240x240/fr6kJJh93czIZQ_r.mp4?tag=3", "https://video.twimg.com/ext_tw_video/997195990133129217/pu/vid/240x240/fr6kJJh93czIZQ_r.mp4?tag=3")</f>
        <v/>
      </c>
      <c r="G516" t="s"/>
      <c r="H516" t="s"/>
      <c r="I516" t="s"/>
      <c r="J516" t="n">
        <v>-0.4939</v>
      </c>
      <c r="K516" t="n">
        <v>0.167</v>
      </c>
      <c r="L516" t="n">
        <v>0.833</v>
      </c>
      <c r="M516" t="n">
        <v>0</v>
      </c>
    </row>
    <row r="517" spans="1:13">
      <c r="A517" s="1">
        <f>HYPERLINK("http://www.twitter.com/NathanBLawrence/status/997217235788853248", "997217235788853248")</f>
        <v/>
      </c>
      <c r="B517" s="2" t="n">
        <v>43237.86679398148</v>
      </c>
      <c r="C517" t="n">
        <v>0</v>
      </c>
      <c r="D517" t="n">
        <v>8</v>
      </c>
      <c r="E517" t="s">
        <v>528</v>
      </c>
      <c r="F517">
        <f>HYPERLINK("https://video.twimg.com/ext_tw_video/997192668462530560/pu/vid/240x240/8z8upb1LwhpRv-51.mp4?tag=3", "https://video.twimg.com/ext_tw_video/997192668462530560/pu/vid/240x240/8z8upb1LwhpRv-51.mp4?tag=3")</f>
        <v/>
      </c>
      <c r="G517" t="s"/>
      <c r="H517" t="s"/>
      <c r="I517" t="s"/>
      <c r="J517" t="n">
        <v>0</v>
      </c>
      <c r="K517" t="n">
        <v>0</v>
      </c>
      <c r="L517" t="n">
        <v>1</v>
      </c>
      <c r="M517" t="n">
        <v>0</v>
      </c>
    </row>
    <row r="518" spans="1:13">
      <c r="A518" s="1">
        <f>HYPERLINK("http://www.twitter.com/NathanBLawrence/status/997217122441973760", "997217122441973760")</f>
        <v/>
      </c>
      <c r="B518" s="2" t="n">
        <v>43237.86648148148</v>
      </c>
      <c r="C518" t="n">
        <v>0</v>
      </c>
      <c r="D518" t="n">
        <v>10</v>
      </c>
      <c r="E518" t="s">
        <v>529</v>
      </c>
      <c r="F518" t="s"/>
      <c r="G518" t="s"/>
      <c r="H518" t="s"/>
      <c r="I518" t="s"/>
      <c r="J518" t="n">
        <v>0.4767</v>
      </c>
      <c r="K518" t="n">
        <v>0.08599999999999999</v>
      </c>
      <c r="L518" t="n">
        <v>0.722</v>
      </c>
      <c r="M518" t="n">
        <v>0.192</v>
      </c>
    </row>
    <row r="519" spans="1:13">
      <c r="A519" s="1">
        <f>HYPERLINK("http://www.twitter.com/NathanBLawrence/status/997217099532656640", "997217099532656640")</f>
        <v/>
      </c>
      <c r="B519" s="2" t="n">
        <v>43237.86641203704</v>
      </c>
      <c r="C519" t="n">
        <v>1</v>
      </c>
      <c r="D519" t="n">
        <v>0</v>
      </c>
      <c r="E519" t="s">
        <v>530</v>
      </c>
      <c r="F519" t="s"/>
      <c r="G519" t="s"/>
      <c r="H519" t="s"/>
      <c r="I519" t="s"/>
      <c r="J519" t="n">
        <v>0</v>
      </c>
      <c r="K519" t="n">
        <v>0</v>
      </c>
      <c r="L519" t="n">
        <v>1</v>
      </c>
      <c r="M519" t="n">
        <v>0</v>
      </c>
    </row>
    <row r="520" spans="1:13">
      <c r="A520" s="1">
        <f>HYPERLINK("http://www.twitter.com/NathanBLawrence/status/997212717206458370", "997212717206458370")</f>
        <v/>
      </c>
      <c r="B520" s="2" t="n">
        <v>43237.85431712963</v>
      </c>
      <c r="C520" t="n">
        <v>0</v>
      </c>
      <c r="D520" t="n">
        <v>0</v>
      </c>
      <c r="E520" t="s">
        <v>531</v>
      </c>
      <c r="F520" t="s"/>
      <c r="G520" t="s"/>
      <c r="H520" t="s"/>
      <c r="I520" t="s"/>
      <c r="J520" t="n">
        <v>0.5574</v>
      </c>
      <c r="K520" t="n">
        <v>0.06</v>
      </c>
      <c r="L520" t="n">
        <v>0.766</v>
      </c>
      <c r="M520" t="n">
        <v>0.173</v>
      </c>
    </row>
    <row r="521" spans="1:13">
      <c r="A521" s="1">
        <f>HYPERLINK("http://www.twitter.com/NathanBLawrence/status/997209789099925506", "997209789099925506")</f>
        <v/>
      </c>
      <c r="B521" s="2" t="n">
        <v>43237.84623842593</v>
      </c>
      <c r="C521" t="n">
        <v>0</v>
      </c>
      <c r="D521" t="n">
        <v>0</v>
      </c>
      <c r="E521" t="s">
        <v>532</v>
      </c>
      <c r="F521" t="s"/>
      <c r="G521" t="s"/>
      <c r="H521" t="s"/>
      <c r="I521" t="s"/>
      <c r="J521" t="n">
        <v>0.8173</v>
      </c>
      <c r="K521" t="n">
        <v>0</v>
      </c>
      <c r="L521" t="n">
        <v>0.516</v>
      </c>
      <c r="M521" t="n">
        <v>0.484</v>
      </c>
    </row>
    <row r="522" spans="1:13">
      <c r="A522" s="1">
        <f>HYPERLINK("http://www.twitter.com/NathanBLawrence/status/997190268796391424", "997190268796391424")</f>
        <v/>
      </c>
      <c r="B522" s="2" t="n">
        <v>43237.79237268519</v>
      </c>
      <c r="C522" t="n">
        <v>0</v>
      </c>
      <c r="D522" t="n">
        <v>11</v>
      </c>
      <c r="E522" t="s">
        <v>533</v>
      </c>
      <c r="F522" t="s"/>
      <c r="G522" t="s"/>
      <c r="H522" t="s"/>
      <c r="I522" t="s"/>
      <c r="J522" t="n">
        <v>0</v>
      </c>
      <c r="K522" t="n">
        <v>0</v>
      </c>
      <c r="L522" t="n">
        <v>1</v>
      </c>
      <c r="M522" t="n">
        <v>0</v>
      </c>
    </row>
    <row r="523" spans="1:13">
      <c r="A523" s="1">
        <f>HYPERLINK("http://www.twitter.com/NathanBLawrence/status/996988605439471616", "996988605439471616")</f>
        <v/>
      </c>
      <c r="B523" s="2" t="n">
        <v>43237.2358912037</v>
      </c>
      <c r="C523" t="n">
        <v>4</v>
      </c>
      <c r="D523" t="n">
        <v>0</v>
      </c>
      <c r="E523" t="s">
        <v>534</v>
      </c>
      <c r="F523" t="s"/>
      <c r="G523" t="s"/>
      <c r="H523" t="s"/>
      <c r="I523" t="s"/>
      <c r="J523" t="n">
        <v>0</v>
      </c>
      <c r="K523" t="n">
        <v>0</v>
      </c>
      <c r="L523" t="n">
        <v>1</v>
      </c>
      <c r="M523" t="n">
        <v>0</v>
      </c>
    </row>
    <row r="524" spans="1:13">
      <c r="A524" s="1">
        <f>HYPERLINK("http://www.twitter.com/NathanBLawrence/status/996987540262420482", "996987540262420482")</f>
        <v/>
      </c>
      <c r="B524" s="2" t="n">
        <v>43237.23295138889</v>
      </c>
      <c r="C524" t="n">
        <v>0</v>
      </c>
      <c r="D524" t="n">
        <v>2</v>
      </c>
      <c r="E524" t="s">
        <v>535</v>
      </c>
      <c r="F524" t="s"/>
      <c r="G524" t="s"/>
      <c r="H524" t="s"/>
      <c r="I524" t="s"/>
      <c r="J524" t="n">
        <v>0</v>
      </c>
      <c r="K524" t="n">
        <v>0</v>
      </c>
      <c r="L524" t="n">
        <v>1</v>
      </c>
      <c r="M524" t="n">
        <v>0</v>
      </c>
    </row>
    <row r="525" spans="1:13">
      <c r="A525" s="1">
        <f>HYPERLINK("http://www.twitter.com/NathanBLawrence/status/996987405415530496", "996987405415530496")</f>
        <v/>
      </c>
      <c r="B525" s="2" t="n">
        <v>43237.23258101852</v>
      </c>
      <c r="C525" t="n">
        <v>0</v>
      </c>
      <c r="D525" t="n">
        <v>5</v>
      </c>
      <c r="E525" t="s">
        <v>536</v>
      </c>
      <c r="F525" t="s"/>
      <c r="G525" t="s"/>
      <c r="H525" t="s"/>
      <c r="I525" t="s"/>
      <c r="J525" t="n">
        <v>-0.5093</v>
      </c>
      <c r="K525" t="n">
        <v>0.215</v>
      </c>
      <c r="L525" t="n">
        <v>0.785</v>
      </c>
      <c r="M525" t="n">
        <v>0</v>
      </c>
    </row>
    <row r="526" spans="1:13">
      <c r="A526" s="1">
        <f>HYPERLINK("http://www.twitter.com/NathanBLawrence/status/996986720548614144", "996986720548614144")</f>
        <v/>
      </c>
      <c r="B526" s="2" t="n">
        <v>43237.23068287037</v>
      </c>
      <c r="C526" t="n">
        <v>0</v>
      </c>
      <c r="D526" t="n">
        <v>2</v>
      </c>
      <c r="E526" t="s">
        <v>537</v>
      </c>
      <c r="F526" t="s"/>
      <c r="G526" t="s"/>
      <c r="H526" t="s"/>
      <c r="I526" t="s"/>
      <c r="J526" t="n">
        <v>0</v>
      </c>
      <c r="K526" t="n">
        <v>0</v>
      </c>
      <c r="L526" t="n">
        <v>1</v>
      </c>
      <c r="M526" t="n">
        <v>0</v>
      </c>
    </row>
    <row r="527" spans="1:13">
      <c r="A527" s="1">
        <f>HYPERLINK("http://www.twitter.com/NathanBLawrence/status/996965684415352832", "996965684415352832")</f>
        <v/>
      </c>
      <c r="B527" s="2" t="n">
        <v>43237.17263888889</v>
      </c>
      <c r="C527" t="n">
        <v>0</v>
      </c>
      <c r="D527" t="n">
        <v>15</v>
      </c>
      <c r="E527" t="s">
        <v>538</v>
      </c>
      <c r="F527" t="s"/>
      <c r="G527" t="s"/>
      <c r="H527" t="s"/>
      <c r="I527" t="s"/>
      <c r="J527" t="n">
        <v>0.5707</v>
      </c>
      <c r="K527" t="n">
        <v>0</v>
      </c>
      <c r="L527" t="n">
        <v>0.822</v>
      </c>
      <c r="M527" t="n">
        <v>0.178</v>
      </c>
    </row>
    <row r="528" spans="1:13">
      <c r="A528" s="1">
        <f>HYPERLINK("http://www.twitter.com/NathanBLawrence/status/996964910461435904", "996964910461435904")</f>
        <v/>
      </c>
      <c r="B528" s="2" t="n">
        <v>43237.17050925926</v>
      </c>
      <c r="C528" t="n">
        <v>3</v>
      </c>
      <c r="D528" t="n">
        <v>2</v>
      </c>
      <c r="E528" t="s">
        <v>539</v>
      </c>
      <c r="F528" t="s"/>
      <c r="G528" t="s"/>
      <c r="H528" t="s"/>
      <c r="I528" t="s"/>
      <c r="J528" t="n">
        <v>-0.9311</v>
      </c>
      <c r="K528" t="n">
        <v>0.266</v>
      </c>
      <c r="L528" t="n">
        <v>0.734</v>
      </c>
      <c r="M528" t="n">
        <v>0</v>
      </c>
    </row>
    <row r="529" spans="1:13">
      <c r="A529" s="1">
        <f>HYPERLINK("http://www.twitter.com/NathanBLawrence/status/996869875518730240", "996869875518730240")</f>
        <v/>
      </c>
      <c r="B529" s="2" t="n">
        <v>43236.90825231482</v>
      </c>
      <c r="C529" t="n">
        <v>0</v>
      </c>
      <c r="D529" t="n">
        <v>17</v>
      </c>
      <c r="E529" t="s">
        <v>540</v>
      </c>
      <c r="F529" t="s"/>
      <c r="G529" t="s"/>
      <c r="H529" t="s"/>
      <c r="I529" t="s"/>
      <c r="J529" t="n">
        <v>-0.2732</v>
      </c>
      <c r="K529" t="n">
        <v>0.13</v>
      </c>
      <c r="L529" t="n">
        <v>0.87</v>
      </c>
      <c r="M529" t="n">
        <v>0</v>
      </c>
    </row>
    <row r="530" spans="1:13">
      <c r="A530" s="1">
        <f>HYPERLINK("http://www.twitter.com/NathanBLawrence/status/996869640025391105", "996869640025391105")</f>
        <v/>
      </c>
      <c r="B530" s="2" t="n">
        <v>43236.90760416666</v>
      </c>
      <c r="C530" t="n">
        <v>2</v>
      </c>
      <c r="D530" t="n">
        <v>0</v>
      </c>
      <c r="E530" t="s">
        <v>541</v>
      </c>
      <c r="F530" t="s"/>
      <c r="G530" t="s"/>
      <c r="H530" t="s"/>
      <c r="I530" t="s"/>
      <c r="J530" t="n">
        <v>-0.3612</v>
      </c>
      <c r="K530" t="n">
        <v>0.091</v>
      </c>
      <c r="L530" t="n">
        <v>0.909</v>
      </c>
      <c r="M530" t="n">
        <v>0</v>
      </c>
    </row>
    <row r="531" spans="1:13">
      <c r="A531" s="1">
        <f>HYPERLINK("http://www.twitter.com/NathanBLawrence/status/996869543745110017", "996869543745110017")</f>
        <v/>
      </c>
      <c r="B531" s="2" t="n">
        <v>43236.90733796296</v>
      </c>
      <c r="C531" t="n">
        <v>0</v>
      </c>
      <c r="D531" t="n">
        <v>16</v>
      </c>
      <c r="E531" t="s">
        <v>542</v>
      </c>
      <c r="F531">
        <f>HYPERLINK("http://pbs.twimg.com/media/DdVoL0IXcAAr1Ph.jpg", "http://pbs.twimg.com/media/DdVoL0IXcAAr1Ph.jpg")</f>
        <v/>
      </c>
      <c r="G531" t="s"/>
      <c r="H531" t="s"/>
      <c r="I531" t="s"/>
      <c r="J531" t="n">
        <v>-0.6114000000000001</v>
      </c>
      <c r="K531" t="n">
        <v>0.192</v>
      </c>
      <c r="L531" t="n">
        <v>0.8080000000000001</v>
      </c>
      <c r="M531" t="n">
        <v>0</v>
      </c>
    </row>
    <row r="532" spans="1:13">
      <c r="A532" s="1">
        <f>HYPERLINK("http://www.twitter.com/NathanBLawrence/status/996869233878315008", "996869233878315008")</f>
        <v/>
      </c>
      <c r="B532" s="2" t="n">
        <v>43236.90648148148</v>
      </c>
      <c r="C532" t="n">
        <v>0</v>
      </c>
      <c r="D532" t="n">
        <v>0</v>
      </c>
      <c r="E532" t="s">
        <v>543</v>
      </c>
      <c r="F532" t="s"/>
      <c r="G532" t="s"/>
      <c r="H532" t="s"/>
      <c r="I532" t="s"/>
      <c r="J532" t="n">
        <v>-0.3612</v>
      </c>
      <c r="K532" t="n">
        <v>0.098</v>
      </c>
      <c r="L532" t="n">
        <v>0.902</v>
      </c>
      <c r="M532" t="n">
        <v>0</v>
      </c>
    </row>
    <row r="533" spans="1:13">
      <c r="A533" s="1">
        <f>HYPERLINK("http://www.twitter.com/NathanBLawrence/status/996868542858313729", "996868542858313729")</f>
        <v/>
      </c>
      <c r="B533" s="2" t="n">
        <v>43236.90458333334</v>
      </c>
      <c r="C533" t="n">
        <v>0</v>
      </c>
      <c r="D533" t="n">
        <v>6</v>
      </c>
      <c r="E533" t="s">
        <v>544</v>
      </c>
      <c r="F533" t="s"/>
      <c r="G533" t="s"/>
      <c r="H533" t="s"/>
      <c r="I533" t="s"/>
      <c r="J533" t="n">
        <v>0.4404</v>
      </c>
      <c r="K533" t="n">
        <v>0</v>
      </c>
      <c r="L533" t="n">
        <v>0.888</v>
      </c>
      <c r="M533" t="n">
        <v>0.112</v>
      </c>
    </row>
    <row r="534" spans="1:13">
      <c r="A534" s="1">
        <f>HYPERLINK("http://www.twitter.com/NathanBLawrence/status/996867993081540608", "996867993081540608")</f>
        <v/>
      </c>
      <c r="B534" s="2" t="n">
        <v>43236.90306712963</v>
      </c>
      <c r="C534" t="n">
        <v>1</v>
      </c>
      <c r="D534" t="n">
        <v>1</v>
      </c>
      <c r="E534" t="s">
        <v>545</v>
      </c>
      <c r="F534" t="s"/>
      <c r="G534" t="s"/>
      <c r="H534" t="s"/>
      <c r="I534" t="s"/>
      <c r="J534" t="n">
        <v>-0.0772</v>
      </c>
      <c r="K534" t="n">
        <v>0.039</v>
      </c>
      <c r="L534" t="n">
        <v>0.961</v>
      </c>
      <c r="M534" t="n">
        <v>0</v>
      </c>
    </row>
    <row r="535" spans="1:13">
      <c r="A535" s="1">
        <f>HYPERLINK("http://www.twitter.com/NathanBLawrence/status/996867325264445440", "996867325264445440")</f>
        <v/>
      </c>
      <c r="B535" s="2" t="n">
        <v>43236.90121527778</v>
      </c>
      <c r="C535" t="n">
        <v>1</v>
      </c>
      <c r="D535" t="n">
        <v>1</v>
      </c>
      <c r="E535" t="s">
        <v>546</v>
      </c>
      <c r="F535" t="s"/>
      <c r="G535" t="s"/>
      <c r="H535" t="s"/>
      <c r="I535" t="s"/>
      <c r="J535" t="n">
        <v>0</v>
      </c>
      <c r="K535" t="n">
        <v>0</v>
      </c>
      <c r="L535" t="n">
        <v>1</v>
      </c>
      <c r="M535" t="n">
        <v>0</v>
      </c>
    </row>
    <row r="536" spans="1:13">
      <c r="A536" s="1">
        <f>HYPERLINK("http://www.twitter.com/NathanBLawrence/status/996862495871520768", "996862495871520768")</f>
        <v/>
      </c>
      <c r="B536" s="2" t="n">
        <v>43236.88789351852</v>
      </c>
      <c r="C536" t="n">
        <v>0</v>
      </c>
      <c r="D536" t="n">
        <v>0</v>
      </c>
      <c r="E536" t="s">
        <v>547</v>
      </c>
      <c r="F536" t="s"/>
      <c r="G536" t="s"/>
      <c r="H536" t="s"/>
      <c r="I536" t="s"/>
      <c r="J536" t="n">
        <v>0.4648</v>
      </c>
      <c r="K536" t="n">
        <v>0</v>
      </c>
      <c r="L536" t="n">
        <v>0.924</v>
      </c>
      <c r="M536" t="n">
        <v>0.076</v>
      </c>
    </row>
    <row r="537" spans="1:13">
      <c r="A537" s="1">
        <f>HYPERLINK("http://www.twitter.com/NathanBLawrence/status/996861194206986240", "996861194206986240")</f>
        <v/>
      </c>
      <c r="B537" s="2" t="n">
        <v>43236.88430555556</v>
      </c>
      <c r="C537" t="n">
        <v>1</v>
      </c>
      <c r="D537" t="n">
        <v>0</v>
      </c>
      <c r="E537" t="s">
        <v>548</v>
      </c>
      <c r="F537" t="s"/>
      <c r="G537" t="s"/>
      <c r="H537" t="s"/>
      <c r="I537" t="s"/>
      <c r="J537" t="n">
        <v>-0.7042</v>
      </c>
      <c r="K537" t="n">
        <v>0.167</v>
      </c>
      <c r="L537" t="n">
        <v>0.776</v>
      </c>
      <c r="M537" t="n">
        <v>0.057</v>
      </c>
    </row>
    <row r="538" spans="1:13">
      <c r="A538" s="1">
        <f>HYPERLINK("http://www.twitter.com/NathanBLawrence/status/996860195681660928", "996860195681660928")</f>
        <v/>
      </c>
      <c r="B538" s="2" t="n">
        <v>43236.88155092593</v>
      </c>
      <c r="C538" t="n">
        <v>2</v>
      </c>
      <c r="D538" t="n">
        <v>1</v>
      </c>
      <c r="E538" t="s">
        <v>549</v>
      </c>
      <c r="F538">
        <f>HYPERLINK("http://pbs.twimg.com/media/DdWO-WlV0AAYgVi.jpg", "http://pbs.twimg.com/media/DdWO-WlV0AAYgVi.jpg")</f>
        <v/>
      </c>
      <c r="G538" t="s"/>
      <c r="H538" t="s"/>
      <c r="I538" t="s"/>
      <c r="J538" t="n">
        <v>0</v>
      </c>
      <c r="K538" t="n">
        <v>0</v>
      </c>
      <c r="L538" t="n">
        <v>1</v>
      </c>
      <c r="M538" t="n">
        <v>0</v>
      </c>
    </row>
    <row r="539" spans="1:13">
      <c r="A539" s="1">
        <f>HYPERLINK("http://www.twitter.com/NathanBLawrence/status/996815976330121217", "996815976330121217")</f>
        <v/>
      </c>
      <c r="B539" s="2" t="n">
        <v>43236.75952546296</v>
      </c>
      <c r="C539" t="n">
        <v>2</v>
      </c>
      <c r="D539" t="n">
        <v>0</v>
      </c>
      <c r="E539" t="s">
        <v>550</v>
      </c>
      <c r="F539" t="s"/>
      <c r="G539" t="s"/>
      <c r="H539" t="s"/>
      <c r="I539" t="s"/>
      <c r="J539" t="n">
        <v>0</v>
      </c>
      <c r="K539" t="n">
        <v>0</v>
      </c>
      <c r="L539" t="n">
        <v>1</v>
      </c>
      <c r="M539" t="n">
        <v>0</v>
      </c>
    </row>
    <row r="540" spans="1:13">
      <c r="A540" s="1">
        <f>HYPERLINK("http://www.twitter.com/NathanBLawrence/status/996815582044545026", "996815582044545026")</f>
        <v/>
      </c>
      <c r="B540" s="2" t="n">
        <v>43236.7584375</v>
      </c>
      <c r="C540" t="n">
        <v>0</v>
      </c>
      <c r="D540" t="n">
        <v>1</v>
      </c>
      <c r="E540" t="s">
        <v>551</v>
      </c>
      <c r="F540" t="s"/>
      <c r="G540" t="s"/>
      <c r="H540" t="s"/>
      <c r="I540" t="s"/>
      <c r="J540" t="n">
        <v>0</v>
      </c>
      <c r="K540" t="n">
        <v>0</v>
      </c>
      <c r="L540" t="n">
        <v>1</v>
      </c>
      <c r="M540" t="n">
        <v>0</v>
      </c>
    </row>
    <row r="541" spans="1:13">
      <c r="A541" s="1">
        <f>HYPERLINK("http://www.twitter.com/NathanBLawrence/status/996814704768110592", "996814704768110592")</f>
        <v/>
      </c>
      <c r="B541" s="2" t="n">
        <v>43236.75601851852</v>
      </c>
      <c r="C541" t="n">
        <v>0</v>
      </c>
      <c r="D541" t="n">
        <v>124</v>
      </c>
      <c r="E541" t="s">
        <v>552</v>
      </c>
      <c r="F541" t="s"/>
      <c r="G541" t="s"/>
      <c r="H541" t="s"/>
      <c r="I541" t="s"/>
      <c r="J541" t="n">
        <v>-0.4588</v>
      </c>
      <c r="K541" t="n">
        <v>0.267</v>
      </c>
      <c r="L541" t="n">
        <v>0.733</v>
      </c>
      <c r="M541" t="n">
        <v>0</v>
      </c>
    </row>
    <row r="542" spans="1:13">
      <c r="A542" s="1">
        <f>HYPERLINK("http://www.twitter.com/NathanBLawrence/status/996814395496914944", "996814395496914944")</f>
        <v/>
      </c>
      <c r="B542" s="2" t="n">
        <v>43236.75516203704</v>
      </c>
      <c r="C542" t="n">
        <v>2</v>
      </c>
      <c r="D542" t="n">
        <v>0</v>
      </c>
      <c r="E542" t="s">
        <v>553</v>
      </c>
      <c r="F542" t="s"/>
      <c r="G542" t="s"/>
      <c r="H542" t="s"/>
      <c r="I542" t="s"/>
      <c r="J542" t="n">
        <v>0</v>
      </c>
      <c r="K542" t="n">
        <v>0</v>
      </c>
      <c r="L542" t="n">
        <v>1</v>
      </c>
      <c r="M542" t="n">
        <v>0</v>
      </c>
    </row>
    <row r="543" spans="1:13">
      <c r="A543" s="1">
        <f>HYPERLINK("http://www.twitter.com/NathanBLawrence/status/996814062754332673", "996814062754332673")</f>
        <v/>
      </c>
      <c r="B543" s="2" t="n">
        <v>43236.75424768519</v>
      </c>
      <c r="C543" t="n">
        <v>0</v>
      </c>
      <c r="D543" t="n">
        <v>12</v>
      </c>
      <c r="E543" t="s">
        <v>554</v>
      </c>
      <c r="F543">
        <f>HYPERLINK("http://pbs.twimg.com/media/DdVgtkKXkAEpp2T.jpg", "http://pbs.twimg.com/media/DdVgtkKXkAEpp2T.jpg")</f>
        <v/>
      </c>
      <c r="G543" t="s"/>
      <c r="H543" t="s"/>
      <c r="I543" t="s"/>
      <c r="J543" t="n">
        <v>0</v>
      </c>
      <c r="K543" t="n">
        <v>0</v>
      </c>
      <c r="L543" t="n">
        <v>1</v>
      </c>
      <c r="M543" t="n">
        <v>0</v>
      </c>
    </row>
    <row r="544" spans="1:13">
      <c r="A544" s="1">
        <f>HYPERLINK("http://www.twitter.com/NathanBLawrence/status/996814012926103554", "996814012926103554")</f>
        <v/>
      </c>
      <c r="B544" s="2" t="n">
        <v>43236.7541087963</v>
      </c>
      <c r="C544" t="n">
        <v>0</v>
      </c>
      <c r="D544" t="n">
        <v>5411</v>
      </c>
      <c r="E544" t="s">
        <v>555</v>
      </c>
      <c r="F544" t="s"/>
      <c r="G544" t="s"/>
      <c r="H544" t="s"/>
      <c r="I544" t="s"/>
      <c r="J544" t="n">
        <v>0</v>
      </c>
      <c r="K544" t="n">
        <v>0</v>
      </c>
      <c r="L544" t="n">
        <v>1</v>
      </c>
      <c r="M544" t="n">
        <v>0</v>
      </c>
    </row>
    <row r="545" spans="1:13">
      <c r="A545" s="1">
        <f>HYPERLINK("http://www.twitter.com/NathanBLawrence/status/996813670670852097", "996813670670852097")</f>
        <v/>
      </c>
      <c r="B545" s="2" t="n">
        <v>43236.75315972222</v>
      </c>
      <c r="C545" t="n">
        <v>0</v>
      </c>
      <c r="D545" t="n">
        <v>8801</v>
      </c>
      <c r="E545" t="s">
        <v>556</v>
      </c>
      <c r="F545" t="s"/>
      <c r="G545" t="s"/>
      <c r="H545" t="s"/>
      <c r="I545" t="s"/>
      <c r="J545" t="n">
        <v>0.2263</v>
      </c>
      <c r="K545" t="n">
        <v>0</v>
      </c>
      <c r="L545" t="n">
        <v>0.927</v>
      </c>
      <c r="M545" t="n">
        <v>0.073</v>
      </c>
    </row>
    <row r="546" spans="1:13">
      <c r="A546" s="1">
        <f>HYPERLINK("http://www.twitter.com/NathanBLawrence/status/996813610839093249", "996813610839093249")</f>
        <v/>
      </c>
      <c r="B546" s="2" t="n">
        <v>43236.75299768519</v>
      </c>
      <c r="C546" t="n">
        <v>0</v>
      </c>
      <c r="D546" t="n">
        <v>2934</v>
      </c>
      <c r="E546" t="s">
        <v>557</v>
      </c>
      <c r="F546" t="s"/>
      <c r="G546" t="s"/>
      <c r="H546" t="s"/>
      <c r="I546" t="s"/>
      <c r="J546" t="n">
        <v>-0.4207</v>
      </c>
      <c r="K546" t="n">
        <v>0.357</v>
      </c>
      <c r="L546" t="n">
        <v>0.384</v>
      </c>
      <c r="M546" t="n">
        <v>0.259</v>
      </c>
    </row>
    <row r="547" spans="1:13">
      <c r="A547" s="1">
        <f>HYPERLINK("http://www.twitter.com/NathanBLawrence/status/996813556644532225", "996813556644532225")</f>
        <v/>
      </c>
      <c r="B547" s="2" t="n">
        <v>43236.75284722223</v>
      </c>
      <c r="C547" t="n">
        <v>1</v>
      </c>
      <c r="D547" t="n">
        <v>0</v>
      </c>
      <c r="E547" t="s">
        <v>558</v>
      </c>
      <c r="F547" t="s"/>
      <c r="G547" t="s"/>
      <c r="H547" t="s"/>
      <c r="I547" t="s"/>
      <c r="J547" t="n">
        <v>-0.5994</v>
      </c>
      <c r="K547" t="n">
        <v>0.197</v>
      </c>
      <c r="L547" t="n">
        <v>0.803</v>
      </c>
      <c r="M547" t="n">
        <v>0</v>
      </c>
    </row>
    <row r="548" spans="1:13">
      <c r="A548" s="1">
        <f>HYPERLINK("http://www.twitter.com/NathanBLawrence/status/996812768908140544", "996812768908140544")</f>
        <v/>
      </c>
      <c r="B548" s="2" t="n">
        <v>43236.75067129629</v>
      </c>
      <c r="C548" t="n">
        <v>0</v>
      </c>
      <c r="D548" t="n">
        <v>501</v>
      </c>
      <c r="E548" t="s">
        <v>559</v>
      </c>
      <c r="F548" t="s"/>
      <c r="G548" t="s"/>
      <c r="H548" t="s"/>
      <c r="I548" t="s"/>
      <c r="J548" t="n">
        <v>0.7533</v>
      </c>
      <c r="K548" t="n">
        <v>0.04</v>
      </c>
      <c r="L548" t="n">
        <v>0.712</v>
      </c>
      <c r="M548" t="n">
        <v>0.248</v>
      </c>
    </row>
    <row r="549" spans="1:13">
      <c r="A549" s="1">
        <f>HYPERLINK("http://www.twitter.com/NathanBLawrence/status/996812631221653505", "996812631221653505")</f>
        <v/>
      </c>
      <c r="B549" s="2" t="n">
        <v>43236.75028935185</v>
      </c>
      <c r="C549" t="n">
        <v>0</v>
      </c>
      <c r="D549" t="n">
        <v>14057</v>
      </c>
      <c r="E549" t="s">
        <v>560</v>
      </c>
      <c r="F549" t="s"/>
      <c r="G549" t="s"/>
      <c r="H549" t="s"/>
      <c r="I549" t="s"/>
      <c r="J549" t="n">
        <v>0</v>
      </c>
      <c r="K549" t="n">
        <v>0</v>
      </c>
      <c r="L549" t="n">
        <v>1</v>
      </c>
      <c r="M549" t="n">
        <v>0</v>
      </c>
    </row>
    <row r="550" spans="1:13">
      <c r="A550" s="1">
        <f>HYPERLINK("http://www.twitter.com/NathanBLawrence/status/996812447158886401", "996812447158886401")</f>
        <v/>
      </c>
      <c r="B550" s="2" t="n">
        <v>43236.74978009259</v>
      </c>
      <c r="C550" t="n">
        <v>0</v>
      </c>
      <c r="D550" t="n">
        <v>3195</v>
      </c>
      <c r="E550" t="s">
        <v>561</v>
      </c>
      <c r="F550" t="s"/>
      <c r="G550" t="s"/>
      <c r="H550" t="s"/>
      <c r="I550" t="s"/>
      <c r="J550" t="n">
        <v>0.4019</v>
      </c>
      <c r="K550" t="n">
        <v>0</v>
      </c>
      <c r="L550" t="n">
        <v>0.895</v>
      </c>
      <c r="M550" t="n">
        <v>0.105</v>
      </c>
    </row>
    <row r="551" spans="1:13">
      <c r="A551" s="1">
        <f>HYPERLINK("http://www.twitter.com/NathanBLawrence/status/996812311435317248", "996812311435317248")</f>
        <v/>
      </c>
      <c r="B551" s="2" t="n">
        <v>43236.74940972222</v>
      </c>
      <c r="C551" t="n">
        <v>0</v>
      </c>
      <c r="D551" t="n">
        <v>15100</v>
      </c>
      <c r="E551" t="s">
        <v>562</v>
      </c>
      <c r="F551" t="s"/>
      <c r="G551" t="s"/>
      <c r="H551" t="s"/>
      <c r="I551" t="s"/>
      <c r="J551" t="n">
        <v>0.6249</v>
      </c>
      <c r="K551" t="n">
        <v>0</v>
      </c>
      <c r="L551" t="n">
        <v>0.823</v>
      </c>
      <c r="M551" t="n">
        <v>0.177</v>
      </c>
    </row>
    <row r="552" spans="1:13">
      <c r="A552" s="1">
        <f>HYPERLINK("http://www.twitter.com/NathanBLawrence/status/996812150273445888", "996812150273445888")</f>
        <v/>
      </c>
      <c r="B552" s="2" t="n">
        <v>43236.74896990741</v>
      </c>
      <c r="C552" t="n">
        <v>0</v>
      </c>
      <c r="D552" t="n">
        <v>4068</v>
      </c>
      <c r="E552" t="s">
        <v>563</v>
      </c>
      <c r="F552" t="s"/>
      <c r="G552" t="s"/>
      <c r="H552" t="s"/>
      <c r="I552" t="s"/>
      <c r="J552" t="n">
        <v>-0.0708</v>
      </c>
      <c r="K552" t="n">
        <v>0.094</v>
      </c>
      <c r="L552" t="n">
        <v>0.823</v>
      </c>
      <c r="M552" t="n">
        <v>0.083</v>
      </c>
    </row>
    <row r="553" spans="1:13">
      <c r="A553" s="1">
        <f>HYPERLINK("http://www.twitter.com/NathanBLawrence/status/996783627210866690", "996783627210866690")</f>
        <v/>
      </c>
      <c r="B553" s="2" t="n">
        <v>43236.67025462963</v>
      </c>
      <c r="C553" t="n">
        <v>0</v>
      </c>
      <c r="D553" t="n">
        <v>5</v>
      </c>
      <c r="E553" t="s">
        <v>564</v>
      </c>
      <c r="F553">
        <f>HYPERLINK("http://pbs.twimg.com/media/DdVJJv8V0AAXRop.jpg", "http://pbs.twimg.com/media/DdVJJv8V0AAXRop.jpg")</f>
        <v/>
      </c>
      <c r="G553" t="s"/>
      <c r="H553" t="s"/>
      <c r="I553" t="s"/>
      <c r="J553" t="n">
        <v>0.296</v>
      </c>
      <c r="K553" t="n">
        <v>0</v>
      </c>
      <c r="L553" t="n">
        <v>0.891</v>
      </c>
      <c r="M553" t="n">
        <v>0.109</v>
      </c>
    </row>
    <row r="554" spans="1:13">
      <c r="A554" s="1">
        <f>HYPERLINK("http://www.twitter.com/NathanBLawrence/status/996783577898532865", "996783577898532865")</f>
        <v/>
      </c>
      <c r="B554" s="2" t="n">
        <v>43236.67011574074</v>
      </c>
      <c r="C554" t="n">
        <v>0</v>
      </c>
      <c r="D554" t="n">
        <v>15</v>
      </c>
      <c r="E554" t="s">
        <v>565</v>
      </c>
      <c r="F554" t="s"/>
      <c r="G554" t="s"/>
      <c r="H554" t="s"/>
      <c r="I554" t="s"/>
      <c r="J554" t="n">
        <v>-0.0516</v>
      </c>
      <c r="K554" t="n">
        <v>0.081</v>
      </c>
      <c r="L554" t="n">
        <v>0.846</v>
      </c>
      <c r="M554" t="n">
        <v>0.073</v>
      </c>
    </row>
    <row r="555" spans="1:13">
      <c r="A555" s="1">
        <f>HYPERLINK("http://www.twitter.com/NathanBLawrence/status/996782023799816192", "996782023799816192")</f>
        <v/>
      </c>
      <c r="B555" s="2" t="n">
        <v>43236.66583333333</v>
      </c>
      <c r="C555" t="n">
        <v>1</v>
      </c>
      <c r="D555" t="n">
        <v>0</v>
      </c>
      <c r="E555" t="s">
        <v>566</v>
      </c>
      <c r="F555" t="s"/>
      <c r="G555" t="s"/>
      <c r="H555" t="s"/>
      <c r="I555" t="s"/>
      <c r="J555" t="n">
        <v>0.2732</v>
      </c>
      <c r="K555" t="n">
        <v>0</v>
      </c>
      <c r="L555" t="n">
        <v>0.948</v>
      </c>
      <c r="M555" t="n">
        <v>0.052</v>
      </c>
    </row>
    <row r="556" spans="1:13">
      <c r="A556" s="1">
        <f>HYPERLINK("http://www.twitter.com/NathanBLawrence/status/996767379110617088", "996767379110617088")</f>
        <v/>
      </c>
      <c r="B556" s="2" t="n">
        <v>43236.62541666667</v>
      </c>
      <c r="C556" t="n">
        <v>0</v>
      </c>
      <c r="D556" t="n">
        <v>3</v>
      </c>
      <c r="E556" t="s">
        <v>567</v>
      </c>
      <c r="F556" t="s"/>
      <c r="G556" t="s"/>
      <c r="H556" t="s"/>
      <c r="I556" t="s"/>
      <c r="J556" t="n">
        <v>-0.2732</v>
      </c>
      <c r="K556" t="n">
        <v>0.12</v>
      </c>
      <c r="L556" t="n">
        <v>0.8</v>
      </c>
      <c r="M556" t="n">
        <v>0.08</v>
      </c>
    </row>
    <row r="557" spans="1:13">
      <c r="A557" s="1">
        <f>HYPERLINK("http://www.twitter.com/NathanBLawrence/status/996766972011397120", "996766972011397120")</f>
        <v/>
      </c>
      <c r="B557" s="2" t="n">
        <v>43236.62429398148</v>
      </c>
      <c r="C557" t="n">
        <v>0</v>
      </c>
      <c r="D557" t="n">
        <v>292</v>
      </c>
      <c r="E557" t="s">
        <v>568</v>
      </c>
      <c r="F557">
        <f>HYPERLINK("http://pbs.twimg.com/media/DdUoRqiV4AAF0uZ.jpg", "http://pbs.twimg.com/media/DdUoRqiV4AAF0uZ.jpg")</f>
        <v/>
      </c>
      <c r="G557" t="s"/>
      <c r="H557" t="s"/>
      <c r="I557" t="s"/>
      <c r="J557" t="n">
        <v>0</v>
      </c>
      <c r="K557" t="n">
        <v>0</v>
      </c>
      <c r="L557" t="n">
        <v>1</v>
      </c>
      <c r="M557" t="n">
        <v>0</v>
      </c>
    </row>
    <row r="558" spans="1:13">
      <c r="A558" s="1">
        <f>HYPERLINK("http://www.twitter.com/NathanBLawrence/status/996760560858349568", "996760560858349568")</f>
        <v/>
      </c>
      <c r="B558" s="2" t="n">
        <v>43236.6066087963</v>
      </c>
      <c r="C558" t="n">
        <v>0</v>
      </c>
      <c r="D558" t="n">
        <v>8041</v>
      </c>
      <c r="E558" t="s">
        <v>569</v>
      </c>
      <c r="F558" t="s"/>
      <c r="G558" t="s"/>
      <c r="H558" t="s"/>
      <c r="I558" t="s"/>
      <c r="J558" t="n">
        <v>0.2023</v>
      </c>
      <c r="K558" t="n">
        <v>0.118</v>
      </c>
      <c r="L558" t="n">
        <v>0.6909999999999999</v>
      </c>
      <c r="M558" t="n">
        <v>0.191</v>
      </c>
    </row>
    <row r="559" spans="1:13">
      <c r="A559" s="1">
        <f>HYPERLINK("http://www.twitter.com/NathanBLawrence/status/996760497608245249", "996760497608245249")</f>
        <v/>
      </c>
      <c r="B559" s="2" t="n">
        <v>43236.60643518518</v>
      </c>
      <c r="C559" t="n">
        <v>0</v>
      </c>
      <c r="D559" t="n">
        <v>914</v>
      </c>
      <c r="E559" t="s">
        <v>570</v>
      </c>
      <c r="F559" t="s"/>
      <c r="G559" t="s"/>
      <c r="H559" t="s"/>
      <c r="I559" t="s"/>
      <c r="J559" t="n">
        <v>0</v>
      </c>
      <c r="K559" t="n">
        <v>0</v>
      </c>
      <c r="L559" t="n">
        <v>1</v>
      </c>
      <c r="M559" t="n">
        <v>0</v>
      </c>
    </row>
    <row r="560" spans="1:13">
      <c r="A560" s="1">
        <f>HYPERLINK("http://www.twitter.com/NathanBLawrence/status/996759887156674560", "996759887156674560")</f>
        <v/>
      </c>
      <c r="B560" s="2" t="n">
        <v>43236.60474537037</v>
      </c>
      <c r="C560" t="n">
        <v>0</v>
      </c>
      <c r="D560" t="n">
        <v>1461</v>
      </c>
      <c r="E560" t="s">
        <v>571</v>
      </c>
      <c r="F560" t="s"/>
      <c r="G560" t="s"/>
      <c r="H560" t="s"/>
      <c r="I560" t="s"/>
      <c r="J560" t="n">
        <v>0.3612</v>
      </c>
      <c r="K560" t="n">
        <v>0</v>
      </c>
      <c r="L560" t="n">
        <v>0.857</v>
      </c>
      <c r="M560" t="n">
        <v>0.143</v>
      </c>
    </row>
    <row r="561" spans="1:13">
      <c r="A561" s="1">
        <f>HYPERLINK("http://www.twitter.com/NathanBLawrence/status/996759744349028353", "996759744349028353")</f>
        <v/>
      </c>
      <c r="B561" s="2" t="n">
        <v>43236.60435185185</v>
      </c>
      <c r="C561" t="n">
        <v>0</v>
      </c>
      <c r="D561" t="n">
        <v>5873</v>
      </c>
      <c r="E561" t="s">
        <v>572</v>
      </c>
      <c r="F561" t="s"/>
      <c r="G561" t="s"/>
      <c r="H561" t="s"/>
      <c r="I561" t="s"/>
      <c r="J561" t="n">
        <v>-0.5859</v>
      </c>
      <c r="K561" t="n">
        <v>0.244</v>
      </c>
      <c r="L561" t="n">
        <v>0.756</v>
      </c>
      <c r="M561" t="n">
        <v>0</v>
      </c>
    </row>
    <row r="562" spans="1:13">
      <c r="A562" s="1">
        <f>HYPERLINK("http://www.twitter.com/NathanBLawrence/status/996758843764817920", "996758843764817920")</f>
        <v/>
      </c>
      <c r="B562" s="2" t="n">
        <v>43236.60186342592</v>
      </c>
      <c r="C562" t="n">
        <v>0</v>
      </c>
      <c r="D562" t="n">
        <v>13886</v>
      </c>
      <c r="E562" t="s">
        <v>573</v>
      </c>
      <c r="F562">
        <f>HYPERLINK("https://video.twimg.com/ext_tw_video/996074605541515264/pu/vid/320x180/6MwhWupaUYzLN6Uy.mp4?tag=3", "https://video.twimg.com/ext_tw_video/996074605541515264/pu/vid/320x180/6MwhWupaUYzLN6Uy.mp4?tag=3")</f>
        <v/>
      </c>
      <c r="G562" t="s"/>
      <c r="H562" t="s"/>
      <c r="I562" t="s"/>
      <c r="J562" t="n">
        <v>0.5859</v>
      </c>
      <c r="K562" t="n">
        <v>0</v>
      </c>
      <c r="L562" t="n">
        <v>0.774</v>
      </c>
      <c r="M562" t="n">
        <v>0.226</v>
      </c>
    </row>
    <row r="563" spans="1:13">
      <c r="A563" s="1">
        <f>HYPERLINK("http://www.twitter.com/NathanBLawrence/status/996758578324123648", "996758578324123648")</f>
        <v/>
      </c>
      <c r="B563" s="2" t="n">
        <v>43236.60113425926</v>
      </c>
      <c r="C563" t="n">
        <v>0</v>
      </c>
      <c r="D563" t="n">
        <v>3533</v>
      </c>
      <c r="E563" t="s">
        <v>574</v>
      </c>
      <c r="F563" t="s"/>
      <c r="G563" t="s"/>
      <c r="H563" t="s"/>
      <c r="I563" t="s"/>
      <c r="J563" t="n">
        <v>0</v>
      </c>
      <c r="K563" t="n">
        <v>0</v>
      </c>
      <c r="L563" t="n">
        <v>1</v>
      </c>
      <c r="M563" t="n">
        <v>0</v>
      </c>
    </row>
    <row r="564" spans="1:13">
      <c r="A564" s="1">
        <f>HYPERLINK("http://www.twitter.com/NathanBLawrence/status/996758457964412928", "996758457964412928")</f>
        <v/>
      </c>
      <c r="B564" s="2" t="n">
        <v>43236.60079861111</v>
      </c>
      <c r="C564" t="n">
        <v>0</v>
      </c>
      <c r="D564" t="n">
        <v>1027</v>
      </c>
      <c r="E564" t="s">
        <v>575</v>
      </c>
      <c r="F564" t="s"/>
      <c r="G564" t="s"/>
      <c r="H564" t="s"/>
      <c r="I564" t="s"/>
      <c r="J564" t="n">
        <v>0.5574</v>
      </c>
      <c r="K564" t="n">
        <v>0</v>
      </c>
      <c r="L564" t="n">
        <v>0.827</v>
      </c>
      <c r="M564" t="n">
        <v>0.173</v>
      </c>
    </row>
    <row r="565" spans="1:13">
      <c r="A565" s="1">
        <f>HYPERLINK("http://www.twitter.com/NathanBLawrence/status/996758307590160384", "996758307590160384")</f>
        <v/>
      </c>
      <c r="B565" s="2" t="n">
        <v>43236.60039351852</v>
      </c>
      <c r="C565" t="n">
        <v>0</v>
      </c>
      <c r="D565" t="n">
        <v>414</v>
      </c>
      <c r="E565" t="s">
        <v>576</v>
      </c>
      <c r="F565">
        <f>HYPERLINK("http://pbs.twimg.com/media/DdPPYdoX4AAX3Fp.jpg", "http://pbs.twimg.com/media/DdPPYdoX4AAX3Fp.jpg")</f>
        <v/>
      </c>
      <c r="G565" t="s"/>
      <c r="H565" t="s"/>
      <c r="I565" t="s"/>
      <c r="J565" t="n">
        <v>-0.3595</v>
      </c>
      <c r="K565" t="n">
        <v>0.122</v>
      </c>
      <c r="L565" t="n">
        <v>0.878</v>
      </c>
      <c r="M565" t="n">
        <v>0</v>
      </c>
    </row>
    <row r="566" spans="1:13">
      <c r="A566" s="1">
        <f>HYPERLINK("http://www.twitter.com/NathanBLawrence/status/996758124596936704", "996758124596936704")</f>
        <v/>
      </c>
      <c r="B566" s="2" t="n">
        <v>43236.59988425926</v>
      </c>
      <c r="C566" t="n">
        <v>0</v>
      </c>
      <c r="D566" t="n">
        <v>458</v>
      </c>
      <c r="E566" t="s">
        <v>577</v>
      </c>
      <c r="F566">
        <f>HYPERLINK("http://pbs.twimg.com/media/DdLO89tXcAILqfe.jpg", "http://pbs.twimg.com/media/DdLO89tXcAILqfe.jpg")</f>
        <v/>
      </c>
      <c r="G566" t="s"/>
      <c r="H566" t="s"/>
      <c r="I566" t="s"/>
      <c r="J566" t="n">
        <v>-0.5266999999999999</v>
      </c>
      <c r="K566" t="n">
        <v>0.188</v>
      </c>
      <c r="L566" t="n">
        <v>0.8120000000000001</v>
      </c>
      <c r="M566" t="n">
        <v>0</v>
      </c>
    </row>
    <row r="567" spans="1:13">
      <c r="A567" s="1">
        <f>HYPERLINK("http://www.twitter.com/NathanBLawrence/status/996757860196302849", "996757860196302849")</f>
        <v/>
      </c>
      <c r="B567" s="2" t="n">
        <v>43236.59915509259</v>
      </c>
      <c r="C567" t="n">
        <v>0</v>
      </c>
      <c r="D567" t="n">
        <v>16187</v>
      </c>
      <c r="E567" t="s">
        <v>578</v>
      </c>
      <c r="F567" t="s"/>
      <c r="G567" t="s"/>
      <c r="H567" t="s"/>
      <c r="I567" t="s"/>
      <c r="J567" t="n">
        <v>-0.3818</v>
      </c>
      <c r="K567" t="n">
        <v>0.11</v>
      </c>
      <c r="L567" t="n">
        <v>0.89</v>
      </c>
      <c r="M567" t="n">
        <v>0</v>
      </c>
    </row>
    <row r="568" spans="1:13">
      <c r="A568" s="1">
        <f>HYPERLINK("http://www.twitter.com/NathanBLawrence/status/996757755074560000", "996757755074560000")</f>
        <v/>
      </c>
      <c r="B568" s="2" t="n">
        <v>43236.59886574074</v>
      </c>
      <c r="C568" t="n">
        <v>0</v>
      </c>
      <c r="D568" t="n">
        <v>1666</v>
      </c>
      <c r="E568" t="s">
        <v>579</v>
      </c>
      <c r="F568">
        <f>HYPERLINK("http://pbs.twimg.com/media/DdRH5dnX0AAl2YG.jpg", "http://pbs.twimg.com/media/DdRH5dnX0AAl2YG.jpg")</f>
        <v/>
      </c>
      <c r="G568" t="s"/>
      <c r="H568" t="s"/>
      <c r="I568" t="s"/>
      <c r="J568" t="n">
        <v>0.4926</v>
      </c>
      <c r="K568" t="n">
        <v>0</v>
      </c>
      <c r="L568" t="n">
        <v>0.79</v>
      </c>
      <c r="M568" t="n">
        <v>0.21</v>
      </c>
    </row>
    <row r="569" spans="1:13">
      <c r="A569" s="1">
        <f>HYPERLINK("http://www.twitter.com/NathanBLawrence/status/996756969619734529", "996756969619734529")</f>
        <v/>
      </c>
      <c r="B569" s="2" t="n">
        <v>43236.59670138889</v>
      </c>
      <c r="C569" t="n">
        <v>0</v>
      </c>
      <c r="D569" t="n">
        <v>13496</v>
      </c>
      <c r="E569" t="s">
        <v>580</v>
      </c>
      <c r="F569" t="s"/>
      <c r="G569" t="s"/>
      <c r="H569" t="s"/>
      <c r="I569" t="s"/>
      <c r="J569" t="n">
        <v>0.3875</v>
      </c>
      <c r="K569" t="n">
        <v>0</v>
      </c>
      <c r="L569" t="n">
        <v>0.901</v>
      </c>
      <c r="M569" t="n">
        <v>0.099</v>
      </c>
    </row>
    <row r="570" spans="1:13">
      <c r="A570" s="1">
        <f>HYPERLINK("http://www.twitter.com/NathanBLawrence/status/996756843018895360", "996756843018895360")</f>
        <v/>
      </c>
      <c r="B570" s="2" t="n">
        <v>43236.59634259259</v>
      </c>
      <c r="C570" t="n">
        <v>0</v>
      </c>
      <c r="D570" t="n">
        <v>9133</v>
      </c>
      <c r="E570" t="s">
        <v>581</v>
      </c>
      <c r="F570" t="s"/>
      <c r="G570" t="s"/>
      <c r="H570" t="s"/>
      <c r="I570" t="s"/>
      <c r="J570" t="n">
        <v>0.2901</v>
      </c>
      <c r="K570" t="n">
        <v>0.054</v>
      </c>
      <c r="L570" t="n">
        <v>0.851</v>
      </c>
      <c r="M570" t="n">
        <v>0.094</v>
      </c>
    </row>
    <row r="571" spans="1:13">
      <c r="A571" s="1">
        <f>HYPERLINK("http://www.twitter.com/NathanBLawrence/status/996756598902013953", "996756598902013953")</f>
        <v/>
      </c>
      <c r="B571" s="2" t="n">
        <v>43236.59567129629</v>
      </c>
      <c r="C571" t="n">
        <v>1</v>
      </c>
      <c r="D571" t="n">
        <v>0</v>
      </c>
      <c r="E571" t="s">
        <v>582</v>
      </c>
      <c r="F571" t="s"/>
      <c r="G571" t="s"/>
      <c r="H571" t="s"/>
      <c r="I571" t="s"/>
      <c r="J571" t="n">
        <v>-0.8555</v>
      </c>
      <c r="K571" t="n">
        <v>0.326</v>
      </c>
      <c r="L571" t="n">
        <v>0.599</v>
      </c>
      <c r="M571" t="n">
        <v>0.075</v>
      </c>
    </row>
    <row r="572" spans="1:13">
      <c r="A572" s="1">
        <f>HYPERLINK("http://www.twitter.com/NathanBLawrence/status/996755826168680448", "996755826168680448")</f>
        <v/>
      </c>
      <c r="B572" s="2" t="n">
        <v>43236.59354166667</v>
      </c>
      <c r="C572" t="n">
        <v>0</v>
      </c>
      <c r="D572" t="n">
        <v>1578</v>
      </c>
      <c r="E572" t="s">
        <v>583</v>
      </c>
      <c r="F572" t="s"/>
      <c r="G572" t="s"/>
      <c r="H572" t="s"/>
      <c r="I572" t="s"/>
      <c r="J572" t="n">
        <v>0.128</v>
      </c>
      <c r="K572" t="n">
        <v>0.094</v>
      </c>
      <c r="L572" t="n">
        <v>0.792</v>
      </c>
      <c r="M572" t="n">
        <v>0.113</v>
      </c>
    </row>
    <row r="573" spans="1:13">
      <c r="A573" s="1">
        <f>HYPERLINK("http://www.twitter.com/NathanBLawrence/status/996755289423704066", "996755289423704066")</f>
        <v/>
      </c>
      <c r="B573" s="2" t="n">
        <v>43236.59206018518</v>
      </c>
      <c r="C573" t="n">
        <v>0</v>
      </c>
      <c r="D573" t="n">
        <v>187</v>
      </c>
      <c r="E573" t="s">
        <v>584</v>
      </c>
      <c r="F573">
        <f>HYPERLINK("http://pbs.twimg.com/media/DdUhOYdVAAEBKbv.jpg", "http://pbs.twimg.com/media/DdUhOYdVAAEBKbv.jpg")</f>
        <v/>
      </c>
      <c r="G573" t="s"/>
      <c r="H573" t="s"/>
      <c r="I573" t="s"/>
      <c r="J573" t="n">
        <v>0.3818</v>
      </c>
      <c r="K573" t="n">
        <v>0</v>
      </c>
      <c r="L573" t="n">
        <v>0.794</v>
      </c>
      <c r="M573" t="n">
        <v>0.206</v>
      </c>
    </row>
    <row r="574" spans="1:13">
      <c r="A574" s="1">
        <f>HYPERLINK("http://www.twitter.com/NathanBLawrence/status/996755245932916736", "996755245932916736")</f>
        <v/>
      </c>
      <c r="B574" s="2" t="n">
        <v>43236.59194444444</v>
      </c>
      <c r="C574" t="n">
        <v>0</v>
      </c>
      <c r="D574" t="n">
        <v>9539</v>
      </c>
      <c r="E574" t="s">
        <v>585</v>
      </c>
      <c r="F574" t="s"/>
      <c r="G574" t="s"/>
      <c r="H574" t="s"/>
      <c r="I574" t="s"/>
      <c r="J574" t="n">
        <v>0</v>
      </c>
      <c r="K574" t="n">
        <v>0</v>
      </c>
      <c r="L574" t="n">
        <v>1</v>
      </c>
      <c r="M574" t="n">
        <v>0</v>
      </c>
    </row>
    <row r="575" spans="1:13">
      <c r="A575" s="1">
        <f>HYPERLINK("http://www.twitter.com/NathanBLawrence/status/996755111165808640", "996755111165808640")</f>
        <v/>
      </c>
      <c r="B575" s="2" t="n">
        <v>43236.5915625</v>
      </c>
      <c r="C575" t="n">
        <v>0</v>
      </c>
      <c r="D575" t="n">
        <v>8958</v>
      </c>
      <c r="E575" t="s">
        <v>586</v>
      </c>
      <c r="F575" t="s"/>
      <c r="G575" t="s"/>
      <c r="H575" t="s"/>
      <c r="I575" t="s"/>
      <c r="J575" t="n">
        <v>0</v>
      </c>
      <c r="K575" t="n">
        <v>0</v>
      </c>
      <c r="L575" t="n">
        <v>1</v>
      </c>
      <c r="M575" t="n">
        <v>0</v>
      </c>
    </row>
    <row r="576" spans="1:13">
      <c r="A576" s="1">
        <f>HYPERLINK("http://www.twitter.com/NathanBLawrence/status/996754922803777538", "996754922803777538")</f>
        <v/>
      </c>
      <c r="B576" s="2" t="n">
        <v>43236.59105324074</v>
      </c>
      <c r="C576" t="n">
        <v>0</v>
      </c>
      <c r="D576" t="n">
        <v>13422</v>
      </c>
      <c r="E576" t="s">
        <v>587</v>
      </c>
      <c r="F576" t="s"/>
      <c r="G576" t="s"/>
      <c r="H576" t="s"/>
      <c r="I576" t="s"/>
      <c r="J576" t="n">
        <v>0</v>
      </c>
      <c r="K576" t="n">
        <v>0</v>
      </c>
      <c r="L576" t="n">
        <v>1</v>
      </c>
      <c r="M576" t="n">
        <v>0</v>
      </c>
    </row>
    <row r="577" spans="1:13">
      <c r="A577" s="1">
        <f>HYPERLINK("http://www.twitter.com/NathanBLawrence/status/996754152586964992", "996754152586964992")</f>
        <v/>
      </c>
      <c r="B577" s="2" t="n">
        <v>43236.58892361111</v>
      </c>
      <c r="C577" t="n">
        <v>0</v>
      </c>
      <c r="D577" t="n">
        <v>12281</v>
      </c>
      <c r="E577" t="s">
        <v>588</v>
      </c>
      <c r="F577" t="s"/>
      <c r="G577" t="s"/>
      <c r="H577" t="s"/>
      <c r="I577" t="s"/>
      <c r="J577" t="n">
        <v>0.8401999999999999</v>
      </c>
      <c r="K577" t="n">
        <v>0</v>
      </c>
      <c r="L577" t="n">
        <v>0.733</v>
      </c>
      <c r="M577" t="n">
        <v>0.267</v>
      </c>
    </row>
    <row r="578" spans="1:13">
      <c r="A578" s="1">
        <f>HYPERLINK("http://www.twitter.com/NathanBLawrence/status/996753839851175938", "996753839851175938")</f>
        <v/>
      </c>
      <c r="B578" s="2" t="n">
        <v>43236.58805555556</v>
      </c>
      <c r="C578" t="n">
        <v>0</v>
      </c>
      <c r="D578" t="n">
        <v>11853</v>
      </c>
      <c r="E578" t="s">
        <v>589</v>
      </c>
      <c r="F578" t="s"/>
      <c r="G578" t="s"/>
      <c r="H578" t="s"/>
      <c r="I578" t="s"/>
      <c r="J578" t="n">
        <v>0.9006</v>
      </c>
      <c r="K578" t="n">
        <v>0</v>
      </c>
      <c r="L578" t="n">
        <v>0.5590000000000001</v>
      </c>
      <c r="M578" t="n">
        <v>0.441</v>
      </c>
    </row>
    <row r="579" spans="1:13">
      <c r="A579" s="1">
        <f>HYPERLINK("http://www.twitter.com/NathanBLawrence/status/996753494404157441", "996753494404157441")</f>
        <v/>
      </c>
      <c r="B579" s="2" t="n">
        <v>43236.58710648148</v>
      </c>
      <c r="C579" t="n">
        <v>0</v>
      </c>
      <c r="D579" t="n">
        <v>1253</v>
      </c>
      <c r="E579" t="s">
        <v>590</v>
      </c>
      <c r="F579" t="s"/>
      <c r="G579" t="s"/>
      <c r="H579" t="s"/>
      <c r="I579" t="s"/>
      <c r="J579" t="n">
        <v>0</v>
      </c>
      <c r="K579" t="n">
        <v>0</v>
      </c>
      <c r="L579" t="n">
        <v>1</v>
      </c>
      <c r="M579" t="n">
        <v>0</v>
      </c>
    </row>
    <row r="580" spans="1:13">
      <c r="A580" s="1">
        <f>HYPERLINK("http://www.twitter.com/NathanBLawrence/status/996753378255474688", "996753378255474688")</f>
        <v/>
      </c>
      <c r="B580" s="2" t="n">
        <v>43236.58678240741</v>
      </c>
      <c r="C580" t="n">
        <v>0</v>
      </c>
      <c r="D580" t="n">
        <v>899</v>
      </c>
      <c r="E580" t="s">
        <v>591</v>
      </c>
      <c r="F580" t="s"/>
      <c r="G580" t="s"/>
      <c r="H580" t="s"/>
      <c r="I580" t="s"/>
      <c r="J580" t="n">
        <v>0.8588</v>
      </c>
      <c r="K580" t="n">
        <v>0</v>
      </c>
      <c r="L580" t="n">
        <v>0.655</v>
      </c>
      <c r="M580" t="n">
        <v>0.345</v>
      </c>
    </row>
    <row r="581" spans="1:13">
      <c r="A581" s="1">
        <f>HYPERLINK("http://www.twitter.com/NathanBLawrence/status/996753225138278404", "996753225138278404")</f>
        <v/>
      </c>
      <c r="B581" s="2" t="n">
        <v>43236.58636574074</v>
      </c>
      <c r="C581" t="n">
        <v>0</v>
      </c>
      <c r="D581" t="n">
        <v>1429</v>
      </c>
      <c r="E581" t="s">
        <v>592</v>
      </c>
      <c r="F581" t="s"/>
      <c r="G581" t="s"/>
      <c r="H581" t="s"/>
      <c r="I581" t="s"/>
      <c r="J581" t="n">
        <v>0.4019</v>
      </c>
      <c r="K581" t="n">
        <v>0</v>
      </c>
      <c r="L581" t="n">
        <v>0.769</v>
      </c>
      <c r="M581" t="n">
        <v>0.231</v>
      </c>
    </row>
    <row r="582" spans="1:13">
      <c r="A582" s="1">
        <f>HYPERLINK("http://www.twitter.com/NathanBLawrence/status/996752843548823552", "996752843548823552")</f>
        <v/>
      </c>
      <c r="B582" s="2" t="n">
        <v>43236.5853125</v>
      </c>
      <c r="C582" t="n">
        <v>0</v>
      </c>
      <c r="D582" t="n">
        <v>2480</v>
      </c>
      <c r="E582" t="s">
        <v>593</v>
      </c>
      <c r="F582" t="s"/>
      <c r="G582" t="s"/>
      <c r="H582" t="s"/>
      <c r="I582" t="s"/>
      <c r="J582" t="n">
        <v>0.4404</v>
      </c>
      <c r="K582" t="n">
        <v>0</v>
      </c>
      <c r="L582" t="n">
        <v>0.756</v>
      </c>
      <c r="M582" t="n">
        <v>0.244</v>
      </c>
    </row>
    <row r="583" spans="1:13">
      <c r="A583" s="1">
        <f>HYPERLINK("http://www.twitter.com/NathanBLawrence/status/996752796702605312", "996752796702605312")</f>
        <v/>
      </c>
      <c r="B583" s="2" t="n">
        <v>43236.58518518518</v>
      </c>
      <c r="C583" t="n">
        <v>0</v>
      </c>
      <c r="D583" t="n">
        <v>10940</v>
      </c>
      <c r="E583" t="s">
        <v>594</v>
      </c>
      <c r="F583">
        <f>HYPERLINK("http://pbs.twimg.com/media/DdUa65CUwAAcJ2_.jpg", "http://pbs.twimg.com/media/DdUa65CUwAAcJ2_.jpg")</f>
        <v/>
      </c>
      <c r="G583" t="s"/>
      <c r="H583" t="s"/>
      <c r="I583" t="s"/>
      <c r="J583" t="n">
        <v>0.9112</v>
      </c>
      <c r="K583" t="n">
        <v>0</v>
      </c>
      <c r="L583" t="n">
        <v>0.58</v>
      </c>
      <c r="M583" t="n">
        <v>0.42</v>
      </c>
    </row>
    <row r="584" spans="1:13">
      <c r="A584" s="1">
        <f>HYPERLINK("http://www.twitter.com/NathanBLawrence/status/996752266932752384", "996752266932752384")</f>
        <v/>
      </c>
      <c r="B584" s="2" t="n">
        <v>43236.58371527777</v>
      </c>
      <c r="C584" t="n">
        <v>0</v>
      </c>
      <c r="D584" t="n">
        <v>156</v>
      </c>
      <c r="E584" t="s">
        <v>595</v>
      </c>
      <c r="F584" t="s"/>
      <c r="G584" t="s"/>
      <c r="H584" t="s"/>
      <c r="I584" t="s"/>
      <c r="J584" t="n">
        <v>0</v>
      </c>
      <c r="K584" t="n">
        <v>0</v>
      </c>
      <c r="L584" t="n">
        <v>1</v>
      </c>
      <c r="M584" t="n">
        <v>0</v>
      </c>
    </row>
    <row r="585" spans="1:13">
      <c r="A585" s="1">
        <f>HYPERLINK("http://www.twitter.com/NathanBLawrence/status/996752155141951489", "996752155141951489")</f>
        <v/>
      </c>
      <c r="B585" s="2" t="n">
        <v>43236.58341435185</v>
      </c>
      <c r="C585" t="n">
        <v>0</v>
      </c>
      <c r="D585" t="n">
        <v>138</v>
      </c>
      <c r="E585" t="s">
        <v>596</v>
      </c>
      <c r="F585">
        <f>HYPERLINK("http://pbs.twimg.com/media/DdUhodcXUAADGuI.jpg", "http://pbs.twimg.com/media/DdUhodcXUAADGuI.jpg")</f>
        <v/>
      </c>
      <c r="G585" t="s"/>
      <c r="H585" t="s"/>
      <c r="I585" t="s"/>
      <c r="J585" t="n">
        <v>-0.8381</v>
      </c>
      <c r="K585" t="n">
        <v>0.332</v>
      </c>
      <c r="L585" t="n">
        <v>0.668</v>
      </c>
      <c r="M585" t="n">
        <v>0</v>
      </c>
    </row>
    <row r="586" spans="1:13">
      <c r="A586" s="1">
        <f>HYPERLINK("http://www.twitter.com/NathanBLawrence/status/996752019875684353", "996752019875684353")</f>
        <v/>
      </c>
      <c r="B586" s="2" t="n">
        <v>43236.5830324074</v>
      </c>
      <c r="C586" t="n">
        <v>0</v>
      </c>
      <c r="D586" t="n">
        <v>7783</v>
      </c>
      <c r="E586" t="s">
        <v>597</v>
      </c>
      <c r="F586" t="s"/>
      <c r="G586" t="s"/>
      <c r="H586" t="s"/>
      <c r="I586" t="s"/>
      <c r="J586" t="n">
        <v>-0.7906</v>
      </c>
      <c r="K586" t="n">
        <v>0.259</v>
      </c>
      <c r="L586" t="n">
        <v>0.741</v>
      </c>
      <c r="M586" t="n">
        <v>0</v>
      </c>
    </row>
    <row r="587" spans="1:13">
      <c r="A587" s="1">
        <f>HYPERLINK("http://www.twitter.com/NathanBLawrence/status/996751947574149120", "996751947574149120")</f>
        <v/>
      </c>
      <c r="B587" s="2" t="n">
        <v>43236.58283564815</v>
      </c>
      <c r="C587" t="n">
        <v>0</v>
      </c>
      <c r="D587" t="n">
        <v>1471</v>
      </c>
      <c r="E587" t="s">
        <v>598</v>
      </c>
      <c r="F587" t="s"/>
      <c r="G587" t="s"/>
      <c r="H587" t="s"/>
      <c r="I587" t="s"/>
      <c r="J587" t="n">
        <v>0</v>
      </c>
      <c r="K587" t="n">
        <v>0</v>
      </c>
      <c r="L587" t="n">
        <v>1</v>
      </c>
      <c r="M587" t="n">
        <v>0</v>
      </c>
    </row>
    <row r="588" spans="1:13">
      <c r="A588" s="1">
        <f>HYPERLINK("http://www.twitter.com/NathanBLawrence/status/996751882856095749", "996751882856095749")</f>
        <v/>
      </c>
      <c r="B588" s="2" t="n">
        <v>43236.58266203704</v>
      </c>
      <c r="C588" t="n">
        <v>0</v>
      </c>
      <c r="D588" t="n">
        <v>549</v>
      </c>
      <c r="E588" t="s">
        <v>599</v>
      </c>
      <c r="F588">
        <f>HYPERLINK("http://pbs.twimg.com/media/DdUp_POVAAAdd9e.jpg", "http://pbs.twimg.com/media/DdUp_POVAAAdd9e.jpg")</f>
        <v/>
      </c>
      <c r="G588" t="s"/>
      <c r="H588" t="s"/>
      <c r="I588" t="s"/>
      <c r="J588" t="n">
        <v>0</v>
      </c>
      <c r="K588" t="n">
        <v>0</v>
      </c>
      <c r="L588" t="n">
        <v>1</v>
      </c>
      <c r="M588" t="n">
        <v>0</v>
      </c>
    </row>
    <row r="589" spans="1:13">
      <c r="A589" s="1">
        <f>HYPERLINK("http://www.twitter.com/NathanBLawrence/status/996751824441888768", "996751824441888768")</f>
        <v/>
      </c>
      <c r="B589" s="2" t="n">
        <v>43236.5825</v>
      </c>
      <c r="C589" t="n">
        <v>0</v>
      </c>
      <c r="D589" t="n">
        <v>17374</v>
      </c>
      <c r="E589" t="s">
        <v>600</v>
      </c>
      <c r="F589" t="s"/>
      <c r="G589" t="s"/>
      <c r="H589" t="s"/>
      <c r="I589" t="s"/>
      <c r="J589" t="n">
        <v>0.8779</v>
      </c>
      <c r="K589" t="n">
        <v>0</v>
      </c>
      <c r="L589" t="n">
        <v>0.627</v>
      </c>
      <c r="M589" t="n">
        <v>0.373</v>
      </c>
    </row>
    <row r="590" spans="1:13">
      <c r="A590" s="1">
        <f>HYPERLINK("http://www.twitter.com/NathanBLawrence/status/996751782767308800", "996751782767308800")</f>
        <v/>
      </c>
      <c r="B590" s="2" t="n">
        <v>43236.58238425926</v>
      </c>
      <c r="C590" t="n">
        <v>0</v>
      </c>
      <c r="D590" t="n">
        <v>4773</v>
      </c>
      <c r="E590" t="s">
        <v>601</v>
      </c>
      <c r="F590" t="s"/>
      <c r="G590" t="s"/>
      <c r="H590" t="s"/>
      <c r="I590" t="s"/>
      <c r="J590" t="n">
        <v>-0.1027</v>
      </c>
      <c r="K590" t="n">
        <v>0.062</v>
      </c>
      <c r="L590" t="n">
        <v>0.9379999999999999</v>
      </c>
      <c r="M590" t="n">
        <v>0</v>
      </c>
    </row>
    <row r="591" spans="1:13">
      <c r="A591" s="1">
        <f>HYPERLINK("http://www.twitter.com/NathanBLawrence/status/996631941397889024", "996631941397889024")</f>
        <v/>
      </c>
      <c r="B591" s="2" t="n">
        <v>43236.25168981482</v>
      </c>
      <c r="C591" t="n">
        <v>0</v>
      </c>
      <c r="D591" t="n">
        <v>42</v>
      </c>
      <c r="E591" t="s">
        <v>602</v>
      </c>
      <c r="F591">
        <f>HYPERLINK("http://pbs.twimg.com/media/DdQM4AkUwAAdliJ.jpg", "http://pbs.twimg.com/media/DdQM4AkUwAAdliJ.jpg")</f>
        <v/>
      </c>
      <c r="G591" t="s"/>
      <c r="H591" t="s"/>
      <c r="I591" t="s"/>
      <c r="J591" t="n">
        <v>-0.4404</v>
      </c>
      <c r="K591" t="n">
        <v>0.139</v>
      </c>
      <c r="L591" t="n">
        <v>0.861</v>
      </c>
      <c r="M591" t="n">
        <v>0</v>
      </c>
    </row>
    <row r="592" spans="1:13">
      <c r="A592" s="1">
        <f>HYPERLINK("http://www.twitter.com/NathanBLawrence/status/996631814767759360", "996631814767759360")</f>
        <v/>
      </c>
      <c r="B592" s="2" t="n">
        <v>43236.25133101852</v>
      </c>
      <c r="C592" t="n">
        <v>0</v>
      </c>
      <c r="D592" t="n">
        <v>49</v>
      </c>
      <c r="E592" t="s">
        <v>603</v>
      </c>
      <c r="F592" t="s"/>
      <c r="G592" t="s"/>
      <c r="H592" t="s"/>
      <c r="I592" t="s"/>
      <c r="J592" t="n">
        <v>-0.7184</v>
      </c>
      <c r="K592" t="n">
        <v>0.24</v>
      </c>
      <c r="L592" t="n">
        <v>0.76</v>
      </c>
      <c r="M592" t="n">
        <v>0</v>
      </c>
    </row>
    <row r="593" spans="1:13">
      <c r="A593" s="1">
        <f>HYPERLINK("http://www.twitter.com/NathanBLawrence/status/996631581673472000", "996631581673472000")</f>
        <v/>
      </c>
      <c r="B593" s="2" t="n">
        <v>43236.25069444445</v>
      </c>
      <c r="C593" t="n">
        <v>0</v>
      </c>
      <c r="D593" t="n">
        <v>10</v>
      </c>
      <c r="E593" t="s">
        <v>604</v>
      </c>
      <c r="F593" t="s"/>
      <c r="G593" t="s"/>
      <c r="H593" t="s"/>
      <c r="I593" t="s"/>
      <c r="J593" t="n">
        <v>-0.4588</v>
      </c>
      <c r="K593" t="n">
        <v>0.211</v>
      </c>
      <c r="L593" t="n">
        <v>0.789</v>
      </c>
      <c r="M593" t="n">
        <v>0</v>
      </c>
    </row>
    <row r="594" spans="1:13">
      <c r="A594" s="1">
        <f>HYPERLINK("http://www.twitter.com/NathanBLawrence/status/996631516661727232", "996631516661727232")</f>
        <v/>
      </c>
      <c r="B594" s="2" t="n">
        <v>43236.25050925926</v>
      </c>
      <c r="C594" t="n">
        <v>0</v>
      </c>
      <c r="D594" t="n">
        <v>60</v>
      </c>
      <c r="E594" t="s">
        <v>605</v>
      </c>
      <c r="F594" t="s"/>
      <c r="G594" t="s"/>
      <c r="H594" t="s"/>
      <c r="I594" t="s"/>
      <c r="J594" t="n">
        <v>0.6369</v>
      </c>
      <c r="K594" t="n">
        <v>0.092</v>
      </c>
      <c r="L594" t="n">
        <v>0.662</v>
      </c>
      <c r="M594" t="n">
        <v>0.246</v>
      </c>
    </row>
    <row r="595" spans="1:13">
      <c r="A595" s="1">
        <f>HYPERLINK("http://www.twitter.com/NathanBLawrence/status/996631487888818177", "996631487888818177")</f>
        <v/>
      </c>
      <c r="B595" s="2" t="n">
        <v>43236.25042824074</v>
      </c>
      <c r="C595" t="n">
        <v>0</v>
      </c>
      <c r="D595" t="n">
        <v>116</v>
      </c>
      <c r="E595" t="s">
        <v>606</v>
      </c>
      <c r="F595" t="s"/>
      <c r="G595" t="s"/>
      <c r="H595" t="s"/>
      <c r="I595" t="s"/>
      <c r="J595" t="n">
        <v>-0.5849</v>
      </c>
      <c r="K595" t="n">
        <v>0.166</v>
      </c>
      <c r="L595" t="n">
        <v>0.834</v>
      </c>
      <c r="M595" t="n">
        <v>0</v>
      </c>
    </row>
    <row r="596" spans="1:13">
      <c r="A596" s="1">
        <f>HYPERLINK("http://www.twitter.com/NathanBLawrence/status/996630920445624320", "996630920445624320")</f>
        <v/>
      </c>
      <c r="B596" s="2" t="n">
        <v>43236.24886574074</v>
      </c>
      <c r="C596" t="n">
        <v>0</v>
      </c>
      <c r="D596" t="n">
        <v>3</v>
      </c>
      <c r="E596" t="s">
        <v>607</v>
      </c>
      <c r="F596" t="s"/>
      <c r="G596" t="s"/>
      <c r="H596" t="s"/>
      <c r="I596" t="s"/>
      <c r="J596" t="n">
        <v>0</v>
      </c>
      <c r="K596" t="n">
        <v>0</v>
      </c>
      <c r="L596" t="n">
        <v>1</v>
      </c>
      <c r="M596" t="n">
        <v>0</v>
      </c>
    </row>
    <row r="597" spans="1:13">
      <c r="A597" s="1">
        <f>HYPERLINK("http://www.twitter.com/NathanBLawrence/status/996630794461327361", "996630794461327361")</f>
        <v/>
      </c>
      <c r="B597" s="2" t="n">
        <v>43236.24851851852</v>
      </c>
      <c r="C597" t="n">
        <v>0</v>
      </c>
      <c r="D597" t="n">
        <v>20</v>
      </c>
      <c r="E597" t="s">
        <v>608</v>
      </c>
      <c r="F597" t="s"/>
      <c r="G597" t="s"/>
      <c r="H597" t="s"/>
      <c r="I597" t="s"/>
      <c r="J597" t="n">
        <v>0</v>
      </c>
      <c r="K597" t="n">
        <v>0</v>
      </c>
      <c r="L597" t="n">
        <v>1</v>
      </c>
      <c r="M597" t="n">
        <v>0</v>
      </c>
    </row>
    <row r="598" spans="1:13">
      <c r="A598" s="1">
        <f>HYPERLINK("http://www.twitter.com/NathanBLawrence/status/996630730867228672", "996630730867228672")</f>
        <v/>
      </c>
      <c r="B598" s="2" t="n">
        <v>43236.24834490741</v>
      </c>
      <c r="C598" t="n">
        <v>0</v>
      </c>
      <c r="D598" t="n">
        <v>3</v>
      </c>
      <c r="E598" t="s">
        <v>609</v>
      </c>
      <c r="F598" t="s"/>
      <c r="G598" t="s"/>
      <c r="H598" t="s"/>
      <c r="I598" t="s"/>
      <c r="J598" t="n">
        <v>0</v>
      </c>
      <c r="K598" t="n">
        <v>0</v>
      </c>
      <c r="L598" t="n">
        <v>1</v>
      </c>
      <c r="M598" t="n">
        <v>0</v>
      </c>
    </row>
    <row r="599" spans="1:13">
      <c r="A599" s="1">
        <f>HYPERLINK("http://www.twitter.com/NathanBLawrence/status/996630636403163136", "996630636403163136")</f>
        <v/>
      </c>
      <c r="B599" s="2" t="n">
        <v>43236.24807870371</v>
      </c>
      <c r="C599" t="n">
        <v>0</v>
      </c>
      <c r="D599" t="n">
        <v>2</v>
      </c>
      <c r="E599" t="s">
        <v>610</v>
      </c>
      <c r="F599" t="s"/>
      <c r="G599" t="s"/>
      <c r="H599" t="s"/>
      <c r="I599" t="s"/>
      <c r="J599" t="n">
        <v>0</v>
      </c>
      <c r="K599" t="n">
        <v>0</v>
      </c>
      <c r="L599" t="n">
        <v>1</v>
      </c>
      <c r="M599" t="n">
        <v>0</v>
      </c>
    </row>
    <row r="600" spans="1:13">
      <c r="A600" s="1">
        <f>HYPERLINK("http://www.twitter.com/NathanBLawrence/status/996630093425344513", "996630093425344513")</f>
        <v/>
      </c>
      <c r="B600" s="2" t="n">
        <v>43236.24658564815</v>
      </c>
      <c r="C600" t="n">
        <v>0</v>
      </c>
      <c r="D600" t="n">
        <v>9</v>
      </c>
      <c r="E600" t="s">
        <v>611</v>
      </c>
      <c r="F600" t="s"/>
      <c r="G600" t="s"/>
      <c r="H600" t="s"/>
      <c r="I600" t="s"/>
      <c r="J600" t="n">
        <v>0</v>
      </c>
      <c r="K600" t="n">
        <v>0</v>
      </c>
      <c r="L600" t="n">
        <v>1</v>
      </c>
      <c r="M600" t="n">
        <v>0</v>
      </c>
    </row>
    <row r="601" spans="1:13">
      <c r="A601" s="1">
        <f>HYPERLINK("http://www.twitter.com/NathanBLawrence/status/996630070151147520", "996630070151147520")</f>
        <v/>
      </c>
      <c r="B601" s="2" t="n">
        <v>43236.2465162037</v>
      </c>
      <c r="C601" t="n">
        <v>0</v>
      </c>
      <c r="D601" t="n">
        <v>15</v>
      </c>
      <c r="E601" t="s">
        <v>612</v>
      </c>
      <c r="F601" t="s"/>
      <c r="G601" t="s"/>
      <c r="H601" t="s"/>
      <c r="I601" t="s"/>
      <c r="J601" t="n">
        <v>0.1779</v>
      </c>
      <c r="K601" t="n">
        <v>0.08799999999999999</v>
      </c>
      <c r="L601" t="n">
        <v>0.797</v>
      </c>
      <c r="M601" t="n">
        <v>0.116</v>
      </c>
    </row>
    <row r="602" spans="1:13">
      <c r="A602" s="1">
        <f>HYPERLINK("http://www.twitter.com/NathanBLawrence/status/996630036227637248", "996630036227637248")</f>
        <v/>
      </c>
      <c r="B602" s="2" t="n">
        <v>43236.24642361111</v>
      </c>
      <c r="C602" t="n">
        <v>0</v>
      </c>
      <c r="D602" t="n">
        <v>5021</v>
      </c>
      <c r="E602" t="s">
        <v>613</v>
      </c>
      <c r="F602" t="s"/>
      <c r="G602" t="s"/>
      <c r="H602" t="s"/>
      <c r="I602" t="s"/>
      <c r="J602" t="n">
        <v>-0.6319</v>
      </c>
      <c r="K602" t="n">
        <v>0.293</v>
      </c>
      <c r="L602" t="n">
        <v>0.608</v>
      </c>
      <c r="M602" t="n">
        <v>0.099</v>
      </c>
    </row>
    <row r="603" spans="1:13">
      <c r="A603" s="1">
        <f>HYPERLINK("http://www.twitter.com/NathanBLawrence/status/996629640843161600", "996629640843161600")</f>
        <v/>
      </c>
      <c r="B603" s="2" t="n">
        <v>43236.24533564815</v>
      </c>
      <c r="C603" t="n">
        <v>0</v>
      </c>
      <c r="D603" t="n">
        <v>14</v>
      </c>
      <c r="E603" t="s">
        <v>614</v>
      </c>
      <c r="F603">
        <f>HYPERLINK("http://pbs.twimg.com/media/DdQsAyUWkAAqSEy.jpg", "http://pbs.twimg.com/media/DdQsAyUWkAAqSEy.jpg")</f>
        <v/>
      </c>
      <c r="G603" t="s"/>
      <c r="H603" t="s"/>
      <c r="I603" t="s"/>
      <c r="J603" t="n">
        <v>0.4149</v>
      </c>
      <c r="K603" t="n">
        <v>0.051</v>
      </c>
      <c r="L603" t="n">
        <v>0.798</v>
      </c>
      <c r="M603" t="n">
        <v>0.151</v>
      </c>
    </row>
    <row r="604" spans="1:13">
      <c r="A604" s="1">
        <f>HYPERLINK("http://www.twitter.com/NathanBLawrence/status/996629503169388544", "996629503169388544")</f>
        <v/>
      </c>
      <c r="B604" s="2" t="n">
        <v>43236.2449537037</v>
      </c>
      <c r="C604" t="n">
        <v>0</v>
      </c>
      <c r="D604" t="n">
        <v>6685</v>
      </c>
      <c r="E604" t="s">
        <v>615</v>
      </c>
      <c r="F604" t="s"/>
      <c r="G604" t="s"/>
      <c r="H604" t="s"/>
      <c r="I604" t="s"/>
      <c r="J604" t="n">
        <v>-0.8074</v>
      </c>
      <c r="K604" t="n">
        <v>0.328</v>
      </c>
      <c r="L604" t="n">
        <v>0.672</v>
      </c>
      <c r="M604" t="n">
        <v>0</v>
      </c>
    </row>
    <row r="605" spans="1:13">
      <c r="A605" s="1">
        <f>HYPERLINK("http://www.twitter.com/NathanBLawrence/status/996625102920798208", "996625102920798208")</f>
        <v/>
      </c>
      <c r="B605" s="2" t="n">
        <v>43236.2328125</v>
      </c>
      <c r="C605" t="n">
        <v>0</v>
      </c>
      <c r="D605" t="n">
        <v>14</v>
      </c>
      <c r="E605" t="s">
        <v>616</v>
      </c>
      <c r="F605" t="s"/>
      <c r="G605" t="s"/>
      <c r="H605" t="s"/>
      <c r="I605" t="s"/>
      <c r="J605" t="n">
        <v>-0.5904</v>
      </c>
      <c r="K605" t="n">
        <v>0.221</v>
      </c>
      <c r="L605" t="n">
        <v>0.779</v>
      </c>
      <c r="M605" t="n">
        <v>0</v>
      </c>
    </row>
    <row r="606" spans="1:13">
      <c r="A606" s="1">
        <f>HYPERLINK("http://www.twitter.com/NathanBLawrence/status/996624947345735680", "996624947345735680")</f>
        <v/>
      </c>
      <c r="B606" s="2" t="n">
        <v>43236.23238425926</v>
      </c>
      <c r="C606" t="n">
        <v>0</v>
      </c>
      <c r="D606" t="n">
        <v>18</v>
      </c>
      <c r="E606" t="s">
        <v>617</v>
      </c>
      <c r="F606" t="s"/>
      <c r="G606" t="s"/>
      <c r="H606" t="s"/>
      <c r="I606" t="s"/>
      <c r="J606" t="n">
        <v>-0.6705</v>
      </c>
      <c r="K606" t="n">
        <v>0.224</v>
      </c>
      <c r="L606" t="n">
        <v>0.776</v>
      </c>
      <c r="M606" t="n">
        <v>0</v>
      </c>
    </row>
    <row r="607" spans="1:13">
      <c r="A607" s="1">
        <f>HYPERLINK("http://www.twitter.com/NathanBLawrence/status/996624431538585601", "996624431538585601")</f>
        <v/>
      </c>
      <c r="B607" s="2" t="n">
        <v>43236.23096064815</v>
      </c>
      <c r="C607" t="n">
        <v>3</v>
      </c>
      <c r="D607" t="n">
        <v>1</v>
      </c>
      <c r="E607" t="s">
        <v>618</v>
      </c>
      <c r="F607" t="s"/>
      <c r="G607" t="s"/>
      <c r="H607" t="s"/>
      <c r="I607" t="s"/>
      <c r="J607" t="n">
        <v>0</v>
      </c>
      <c r="K607" t="n">
        <v>0</v>
      </c>
      <c r="L607" t="n">
        <v>1</v>
      </c>
      <c r="M607" t="n">
        <v>0</v>
      </c>
    </row>
    <row r="608" spans="1:13">
      <c r="A608" s="1">
        <f>HYPERLINK("http://www.twitter.com/NathanBLawrence/status/996622421154119680", "996622421154119680")</f>
        <v/>
      </c>
      <c r="B608" s="2" t="n">
        <v>43236.22541666667</v>
      </c>
      <c r="C608" t="n">
        <v>0</v>
      </c>
      <c r="D608" t="n">
        <v>1201</v>
      </c>
      <c r="E608" t="s">
        <v>619</v>
      </c>
      <c r="F608" t="s"/>
      <c r="G608" t="s"/>
      <c r="H608" t="s"/>
      <c r="I608" t="s"/>
      <c r="J608" t="n">
        <v>0.7096</v>
      </c>
      <c r="K608" t="n">
        <v>0.078</v>
      </c>
      <c r="L608" t="n">
        <v>0.671</v>
      </c>
      <c r="M608" t="n">
        <v>0.251</v>
      </c>
    </row>
    <row r="609" spans="1:13">
      <c r="A609" s="1">
        <f>HYPERLINK("http://www.twitter.com/NathanBLawrence/status/996503798993469440", "996503798993469440")</f>
        <v/>
      </c>
      <c r="B609" s="2" t="n">
        <v>43235.89807870371</v>
      </c>
      <c r="C609" t="n">
        <v>0</v>
      </c>
      <c r="D609" t="n">
        <v>5</v>
      </c>
      <c r="E609" t="s">
        <v>620</v>
      </c>
      <c r="F609" t="s"/>
      <c r="G609" t="s"/>
      <c r="H609" t="s"/>
      <c r="I609" t="s"/>
      <c r="J609" t="n">
        <v>0.5904</v>
      </c>
      <c r="K609" t="n">
        <v>0</v>
      </c>
      <c r="L609" t="n">
        <v>0.742</v>
      </c>
      <c r="M609" t="n">
        <v>0.258</v>
      </c>
    </row>
    <row r="610" spans="1:13">
      <c r="A610" s="1">
        <f>HYPERLINK("http://www.twitter.com/NathanBLawrence/status/996503604314828800", "996503604314828800")</f>
        <v/>
      </c>
      <c r="B610" s="2" t="n">
        <v>43235.8975462963</v>
      </c>
      <c r="C610" t="n">
        <v>0</v>
      </c>
      <c r="D610" t="n">
        <v>1281</v>
      </c>
      <c r="E610" t="s">
        <v>621</v>
      </c>
      <c r="F610" t="s"/>
      <c r="G610" t="s"/>
      <c r="H610" t="s"/>
      <c r="I610" t="s"/>
      <c r="J610" t="n">
        <v>-0.5859</v>
      </c>
      <c r="K610" t="n">
        <v>0.153</v>
      </c>
      <c r="L610" t="n">
        <v>0.847</v>
      </c>
      <c r="M610" t="n">
        <v>0</v>
      </c>
    </row>
    <row r="611" spans="1:13">
      <c r="A611" s="1">
        <f>HYPERLINK("http://www.twitter.com/NathanBLawrence/status/996503521540296704", "996503521540296704")</f>
        <v/>
      </c>
      <c r="B611" s="2" t="n">
        <v>43235.89731481481</v>
      </c>
      <c r="C611" t="n">
        <v>0</v>
      </c>
      <c r="D611" t="n">
        <v>6530</v>
      </c>
      <c r="E611" t="s">
        <v>622</v>
      </c>
      <c r="F611" t="s"/>
      <c r="G611" t="s"/>
      <c r="H611" t="s"/>
      <c r="I611" t="s"/>
      <c r="J611" t="n">
        <v>-0.3818</v>
      </c>
      <c r="K611" t="n">
        <v>0.247</v>
      </c>
      <c r="L611" t="n">
        <v>0.753</v>
      </c>
      <c r="M611" t="n">
        <v>0</v>
      </c>
    </row>
    <row r="612" spans="1:13">
      <c r="A612" s="1">
        <f>HYPERLINK("http://www.twitter.com/NathanBLawrence/status/996503483695034368", "996503483695034368")</f>
        <v/>
      </c>
      <c r="B612" s="2" t="n">
        <v>43235.89721064815</v>
      </c>
      <c r="C612" t="n">
        <v>0</v>
      </c>
      <c r="D612" t="n">
        <v>353</v>
      </c>
      <c r="E612" t="s">
        <v>623</v>
      </c>
      <c r="F612">
        <f>HYPERLINK("http://pbs.twimg.com/media/DdPV0tkWsAUANDP.jpg", "http://pbs.twimg.com/media/DdPV0tkWsAUANDP.jpg")</f>
        <v/>
      </c>
      <c r="G612" t="s"/>
      <c r="H612" t="s"/>
      <c r="I612" t="s"/>
      <c r="J612" t="n">
        <v>-0.8439</v>
      </c>
      <c r="K612" t="n">
        <v>0.269</v>
      </c>
      <c r="L612" t="n">
        <v>0.731</v>
      </c>
      <c r="M612" t="n">
        <v>0</v>
      </c>
    </row>
    <row r="613" spans="1:13">
      <c r="A613" s="1">
        <f>HYPERLINK("http://www.twitter.com/NathanBLawrence/status/996503374974472192", "996503374974472192")</f>
        <v/>
      </c>
      <c r="B613" s="2" t="n">
        <v>43235.89690972222</v>
      </c>
      <c r="C613" t="n">
        <v>0</v>
      </c>
      <c r="D613" t="n">
        <v>5447</v>
      </c>
      <c r="E613" t="s">
        <v>624</v>
      </c>
      <c r="F613" t="s"/>
      <c r="G613" t="s"/>
      <c r="H613" t="s"/>
      <c r="I613" t="s"/>
      <c r="J613" t="n">
        <v>0</v>
      </c>
      <c r="K613" t="n">
        <v>0</v>
      </c>
      <c r="L613" t="n">
        <v>1</v>
      </c>
      <c r="M613" t="n">
        <v>0</v>
      </c>
    </row>
    <row r="614" spans="1:13">
      <c r="A614" s="1">
        <f>HYPERLINK("http://www.twitter.com/NathanBLawrence/status/996503336001028096", "996503336001028096")</f>
        <v/>
      </c>
      <c r="B614" s="2" t="n">
        <v>43235.89680555555</v>
      </c>
      <c r="C614" t="n">
        <v>0</v>
      </c>
      <c r="D614" t="n">
        <v>1219</v>
      </c>
      <c r="E614" t="s">
        <v>625</v>
      </c>
      <c r="F614">
        <f>HYPERLINK("http://pbs.twimg.com/media/DdPWcK-VMAAkjb7.jpg", "http://pbs.twimg.com/media/DdPWcK-VMAAkjb7.jpg")</f>
        <v/>
      </c>
      <c r="G614" t="s"/>
      <c r="H614" t="s"/>
      <c r="I614" t="s"/>
      <c r="J614" t="n">
        <v>0.636</v>
      </c>
      <c r="K614" t="n">
        <v>0</v>
      </c>
      <c r="L614" t="n">
        <v>0.574</v>
      </c>
      <c r="M614" t="n">
        <v>0.426</v>
      </c>
    </row>
    <row r="615" spans="1:13">
      <c r="A615" s="1">
        <f>HYPERLINK("http://www.twitter.com/NathanBLawrence/status/996503176655265792", "996503176655265792")</f>
        <v/>
      </c>
      <c r="B615" s="2" t="n">
        <v>43235.89636574074</v>
      </c>
      <c r="C615" t="n">
        <v>0</v>
      </c>
      <c r="D615" t="n">
        <v>2</v>
      </c>
      <c r="E615" t="s">
        <v>626</v>
      </c>
      <c r="F615" t="s"/>
      <c r="G615" t="s"/>
      <c r="H615" t="s"/>
      <c r="I615" t="s"/>
      <c r="J615" t="n">
        <v>0.128</v>
      </c>
      <c r="K615" t="n">
        <v>0</v>
      </c>
      <c r="L615" t="n">
        <v>0.927</v>
      </c>
      <c r="M615" t="n">
        <v>0.073</v>
      </c>
    </row>
    <row r="616" spans="1:13">
      <c r="A616" s="1">
        <f>HYPERLINK("http://www.twitter.com/NathanBLawrence/status/996501313713094656", "996501313713094656")</f>
        <v/>
      </c>
      <c r="B616" s="2" t="n">
        <v>43235.89121527778</v>
      </c>
      <c r="C616" t="n">
        <v>1</v>
      </c>
      <c r="D616" t="n">
        <v>0</v>
      </c>
      <c r="E616" t="s">
        <v>627</v>
      </c>
      <c r="F616" t="s"/>
      <c r="G616" t="s"/>
      <c r="H616" t="s"/>
      <c r="I616" t="s"/>
      <c r="J616" t="n">
        <v>0</v>
      </c>
      <c r="K616" t="n">
        <v>0</v>
      </c>
      <c r="L616" t="n">
        <v>1</v>
      </c>
      <c r="M616" t="n">
        <v>0</v>
      </c>
    </row>
    <row r="617" spans="1:13">
      <c r="A617" s="1">
        <f>HYPERLINK("http://www.twitter.com/NathanBLawrence/status/996500907780026368", "996500907780026368")</f>
        <v/>
      </c>
      <c r="B617" s="2" t="n">
        <v>43235.89010416667</v>
      </c>
      <c r="C617" t="n">
        <v>0</v>
      </c>
      <c r="D617" t="n">
        <v>9412</v>
      </c>
      <c r="E617" t="s">
        <v>628</v>
      </c>
      <c r="F617">
        <f>HYPERLINK("http://pbs.twimg.com/media/DdPTmUHWAAAHUbd.jpg", "http://pbs.twimg.com/media/DdPTmUHWAAAHUbd.jpg")</f>
        <v/>
      </c>
      <c r="G617" t="s"/>
      <c r="H617" t="s"/>
      <c r="I617" t="s"/>
      <c r="J617" t="n">
        <v>-0.9657</v>
      </c>
      <c r="K617" t="n">
        <v>0.572</v>
      </c>
      <c r="L617" t="n">
        <v>0.428</v>
      </c>
      <c r="M617" t="n">
        <v>0</v>
      </c>
    </row>
    <row r="618" spans="1:13">
      <c r="A618" s="1">
        <f>HYPERLINK("http://www.twitter.com/NathanBLawrence/status/996485700626231296", "996485700626231296")</f>
        <v/>
      </c>
      <c r="B618" s="2" t="n">
        <v>43235.84813657407</v>
      </c>
      <c r="C618" t="n">
        <v>0</v>
      </c>
      <c r="D618" t="n">
        <v>41</v>
      </c>
      <c r="E618" t="s">
        <v>629</v>
      </c>
      <c r="F618" t="s"/>
      <c r="G618" t="s"/>
      <c r="H618" t="s"/>
      <c r="I618" t="s"/>
      <c r="J618" t="n">
        <v>-0.0516</v>
      </c>
      <c r="K618" t="n">
        <v>0.192</v>
      </c>
      <c r="L618" t="n">
        <v>0.625</v>
      </c>
      <c r="M618" t="n">
        <v>0.183</v>
      </c>
    </row>
    <row r="619" spans="1:13">
      <c r="A619" s="1">
        <f>HYPERLINK("http://www.twitter.com/NathanBLawrence/status/996483298787393537", "996483298787393537")</f>
        <v/>
      </c>
      <c r="B619" s="2" t="n">
        <v>43235.84150462963</v>
      </c>
      <c r="C619" t="n">
        <v>0</v>
      </c>
      <c r="D619" t="n">
        <v>15</v>
      </c>
      <c r="E619" t="s">
        <v>630</v>
      </c>
      <c r="F619" t="s"/>
      <c r="G619" t="s"/>
      <c r="H619" t="s"/>
      <c r="I619" t="s"/>
      <c r="J619" t="n">
        <v>-0.4404</v>
      </c>
      <c r="K619" t="n">
        <v>0.132</v>
      </c>
      <c r="L619" t="n">
        <v>0.868</v>
      </c>
      <c r="M619" t="n">
        <v>0</v>
      </c>
    </row>
    <row r="620" spans="1:13">
      <c r="A620" s="1">
        <f>HYPERLINK("http://www.twitter.com/NathanBLawrence/status/996472766420439043", "996472766420439043")</f>
        <v/>
      </c>
      <c r="B620" s="2" t="n">
        <v>43235.81244212963</v>
      </c>
      <c r="C620" t="n">
        <v>0</v>
      </c>
      <c r="D620" t="n">
        <v>7798</v>
      </c>
      <c r="E620" t="s">
        <v>631</v>
      </c>
      <c r="F620" t="s"/>
      <c r="G620" t="s"/>
      <c r="H620" t="s"/>
      <c r="I620" t="s"/>
      <c r="J620" t="n">
        <v>0.0772</v>
      </c>
      <c r="K620" t="n">
        <v>0.079</v>
      </c>
      <c r="L620" t="n">
        <v>0.83</v>
      </c>
      <c r="M620" t="n">
        <v>0.09</v>
      </c>
    </row>
    <row r="621" spans="1:13">
      <c r="A621" s="1">
        <f>HYPERLINK("http://www.twitter.com/NathanBLawrence/status/996472683360636934", "996472683360636934")</f>
        <v/>
      </c>
      <c r="B621" s="2" t="n">
        <v>43235.81221064815</v>
      </c>
      <c r="C621" t="n">
        <v>0</v>
      </c>
      <c r="D621" t="n">
        <v>1072</v>
      </c>
      <c r="E621" t="s">
        <v>632</v>
      </c>
      <c r="F621" t="s"/>
      <c r="G621" t="s"/>
      <c r="H621" t="s"/>
      <c r="I621" t="s"/>
      <c r="J621" t="n">
        <v>-0.25</v>
      </c>
      <c r="K621" t="n">
        <v>0.125</v>
      </c>
      <c r="L621" t="n">
        <v>0.786</v>
      </c>
      <c r="M621" t="n">
        <v>0.089</v>
      </c>
    </row>
    <row r="622" spans="1:13">
      <c r="A622" s="1">
        <f>HYPERLINK("http://www.twitter.com/NathanBLawrence/status/996472589173379072", "996472589173379072")</f>
        <v/>
      </c>
      <c r="B622" s="2" t="n">
        <v>43235.81195601852</v>
      </c>
      <c r="C622" t="n">
        <v>0</v>
      </c>
      <c r="D622" t="n">
        <v>1791</v>
      </c>
      <c r="E622" t="s">
        <v>633</v>
      </c>
      <c r="F622">
        <f>HYPERLINK("https://video.twimg.com/ext_tw_video/996421386519298050/pu/vid/1280x720/5ghzX0ek_exhSeE-.mp4?tag=3", "https://video.twimg.com/ext_tw_video/996421386519298050/pu/vid/1280x720/5ghzX0ek_exhSeE-.mp4?tag=3")</f>
        <v/>
      </c>
      <c r="G622" t="s"/>
      <c r="H622" t="s"/>
      <c r="I622" t="s"/>
      <c r="J622" t="n">
        <v>0</v>
      </c>
      <c r="K622" t="n">
        <v>0</v>
      </c>
      <c r="L622" t="n">
        <v>1</v>
      </c>
      <c r="M622" t="n">
        <v>0</v>
      </c>
    </row>
    <row r="623" spans="1:13">
      <c r="A623" s="1">
        <f>HYPERLINK("http://www.twitter.com/NathanBLawrence/status/996472499830427648", "996472499830427648")</f>
        <v/>
      </c>
      <c r="B623" s="2" t="n">
        <v>43235.81171296296</v>
      </c>
      <c r="C623" t="n">
        <v>0</v>
      </c>
      <c r="D623" t="n">
        <v>7</v>
      </c>
      <c r="E623" t="s">
        <v>634</v>
      </c>
      <c r="F623" t="s"/>
      <c r="G623" t="s"/>
      <c r="H623" t="s"/>
      <c r="I623" t="s"/>
      <c r="J623" t="n">
        <v>-0.4588</v>
      </c>
      <c r="K623" t="n">
        <v>0.125</v>
      </c>
      <c r="L623" t="n">
        <v>0.875</v>
      </c>
      <c r="M623" t="n">
        <v>0</v>
      </c>
    </row>
    <row r="624" spans="1:13">
      <c r="A624" s="1">
        <f>HYPERLINK("http://www.twitter.com/NathanBLawrence/status/996472391713861632", "996472391713861632")</f>
        <v/>
      </c>
      <c r="B624" s="2" t="n">
        <v>43235.81141203704</v>
      </c>
      <c r="C624" t="n">
        <v>0</v>
      </c>
      <c r="D624" t="n">
        <v>1024</v>
      </c>
      <c r="E624" t="s">
        <v>635</v>
      </c>
      <c r="F624" t="s"/>
      <c r="G624" t="s"/>
      <c r="H624" t="s"/>
      <c r="I624" t="s"/>
      <c r="J624" t="n">
        <v>-0.7501</v>
      </c>
      <c r="K624" t="n">
        <v>0.242</v>
      </c>
      <c r="L624" t="n">
        <v>0.758</v>
      </c>
      <c r="M624" t="n">
        <v>0</v>
      </c>
    </row>
    <row r="625" spans="1:13">
      <c r="A625" s="1">
        <f>HYPERLINK("http://www.twitter.com/NathanBLawrence/status/996472248079933440", "996472248079933440")</f>
        <v/>
      </c>
      <c r="B625" s="2" t="n">
        <v>43235.81101851852</v>
      </c>
      <c r="C625" t="n">
        <v>0</v>
      </c>
      <c r="D625" t="n">
        <v>11164</v>
      </c>
      <c r="E625" t="s">
        <v>636</v>
      </c>
      <c r="F625">
        <f>HYPERLINK("https://video.twimg.com/ext_tw_video/996463723442331648/pu/vid/1280x720/kTazUAhPZRj2_ET_.mp4?tag=3", "https://video.twimg.com/ext_tw_video/996463723442331648/pu/vid/1280x720/kTazUAhPZRj2_ET_.mp4?tag=3")</f>
        <v/>
      </c>
      <c r="G625" t="s"/>
      <c r="H625" t="s"/>
      <c r="I625" t="s"/>
      <c r="J625" t="n">
        <v>0</v>
      </c>
      <c r="K625" t="n">
        <v>0</v>
      </c>
      <c r="L625" t="n">
        <v>1</v>
      </c>
      <c r="M625" t="n">
        <v>0</v>
      </c>
    </row>
    <row r="626" spans="1:13">
      <c r="A626" s="1">
        <f>HYPERLINK("http://www.twitter.com/NathanBLawrence/status/996472215792242688", "996472215792242688")</f>
        <v/>
      </c>
      <c r="B626" s="2" t="n">
        <v>43235.81092592593</v>
      </c>
      <c r="C626" t="n">
        <v>0</v>
      </c>
      <c r="D626" t="n">
        <v>196</v>
      </c>
      <c r="E626" t="s">
        <v>637</v>
      </c>
      <c r="F626">
        <f>HYPERLINK("http://pbs.twimg.com/media/DdQPYOOX4AQH2Nj.jpg", "http://pbs.twimg.com/media/DdQPYOOX4AQH2Nj.jpg")</f>
        <v/>
      </c>
      <c r="G626" t="s"/>
      <c r="H626" t="s"/>
      <c r="I626" t="s"/>
      <c r="J626" t="n">
        <v>-0.819</v>
      </c>
      <c r="K626" t="n">
        <v>0.31</v>
      </c>
      <c r="L626" t="n">
        <v>0.6899999999999999</v>
      </c>
      <c r="M626" t="n">
        <v>0</v>
      </c>
    </row>
    <row r="627" spans="1:13">
      <c r="A627" s="1">
        <f>HYPERLINK("http://www.twitter.com/NathanBLawrence/status/996472103783321601", "996472103783321601")</f>
        <v/>
      </c>
      <c r="B627" s="2" t="n">
        <v>43235.81061342593</v>
      </c>
      <c r="C627" t="n">
        <v>0</v>
      </c>
      <c r="D627" t="n">
        <v>948</v>
      </c>
      <c r="E627" t="s">
        <v>638</v>
      </c>
      <c r="F627">
        <f>HYPERLINK("http://pbs.twimg.com/media/DdQKtt_V4AAWd3i.jpg", "http://pbs.twimg.com/media/DdQKtt_V4AAWd3i.jpg")</f>
        <v/>
      </c>
      <c r="G627" t="s"/>
      <c r="H627" t="s"/>
      <c r="I627" t="s"/>
      <c r="J627" t="n">
        <v>0.5826</v>
      </c>
      <c r="K627" t="n">
        <v>0</v>
      </c>
      <c r="L627" t="n">
        <v>0.614</v>
      </c>
      <c r="M627" t="n">
        <v>0.386</v>
      </c>
    </row>
    <row r="628" spans="1:13">
      <c r="A628" s="1">
        <f>HYPERLINK("http://www.twitter.com/NathanBLawrence/status/996472033503571969", "996472033503571969")</f>
        <v/>
      </c>
      <c r="B628" s="2" t="n">
        <v>43235.81041666667</v>
      </c>
      <c r="C628" t="n">
        <v>0</v>
      </c>
      <c r="D628" t="n">
        <v>5436</v>
      </c>
      <c r="E628" t="s">
        <v>639</v>
      </c>
      <c r="F628" t="s"/>
      <c r="G628" t="s"/>
      <c r="H628" t="s"/>
      <c r="I628" t="s"/>
      <c r="J628" t="n">
        <v>-0.8519</v>
      </c>
      <c r="K628" t="n">
        <v>0.307</v>
      </c>
      <c r="L628" t="n">
        <v>0.6929999999999999</v>
      </c>
      <c r="M628" t="n">
        <v>0</v>
      </c>
    </row>
    <row r="629" spans="1:13">
      <c r="A629" s="1">
        <f>HYPERLINK("http://www.twitter.com/NathanBLawrence/status/996471931858759683", "996471931858759683")</f>
        <v/>
      </c>
      <c r="B629" s="2" t="n">
        <v>43235.81013888889</v>
      </c>
      <c r="C629" t="n">
        <v>0</v>
      </c>
      <c r="D629" t="n">
        <v>1832</v>
      </c>
      <c r="E629" t="s">
        <v>640</v>
      </c>
      <c r="F629" t="s"/>
      <c r="G629" t="s"/>
      <c r="H629" t="s"/>
      <c r="I629" t="s"/>
      <c r="J629" t="n">
        <v>0</v>
      </c>
      <c r="K629" t="n">
        <v>0</v>
      </c>
      <c r="L629" t="n">
        <v>1</v>
      </c>
      <c r="M629" t="n">
        <v>0</v>
      </c>
    </row>
    <row r="630" spans="1:13">
      <c r="A630" s="1">
        <f>HYPERLINK("http://www.twitter.com/NathanBLawrence/status/996471855195328512", "996471855195328512")</f>
        <v/>
      </c>
      <c r="B630" s="2" t="n">
        <v>43235.80993055556</v>
      </c>
      <c r="C630" t="n">
        <v>0</v>
      </c>
      <c r="D630" t="n">
        <v>7</v>
      </c>
      <c r="E630" t="s">
        <v>641</v>
      </c>
      <c r="F630" t="s"/>
      <c r="G630" t="s"/>
      <c r="H630" t="s"/>
      <c r="I630" t="s"/>
      <c r="J630" t="n">
        <v>-0.3987</v>
      </c>
      <c r="K630" t="n">
        <v>0.25</v>
      </c>
      <c r="L630" t="n">
        <v>0.581</v>
      </c>
      <c r="M630" t="n">
        <v>0.168</v>
      </c>
    </row>
    <row r="631" spans="1:13">
      <c r="A631" s="1">
        <f>HYPERLINK("http://www.twitter.com/NathanBLawrence/status/996470588490338305", "996470588490338305")</f>
        <v/>
      </c>
      <c r="B631" s="2" t="n">
        <v>43235.80643518519</v>
      </c>
      <c r="C631" t="n">
        <v>0</v>
      </c>
      <c r="D631" t="n">
        <v>14253</v>
      </c>
      <c r="E631" t="s">
        <v>642</v>
      </c>
      <c r="F631" t="s"/>
      <c r="G631" t="s"/>
      <c r="H631" t="s"/>
      <c r="I631" t="s"/>
      <c r="J631" t="n">
        <v>0.6696</v>
      </c>
      <c r="K631" t="n">
        <v>0</v>
      </c>
      <c r="L631" t="n">
        <v>0.756</v>
      </c>
      <c r="M631" t="n">
        <v>0.244</v>
      </c>
    </row>
    <row r="632" spans="1:13">
      <c r="A632" s="1">
        <f>HYPERLINK("http://www.twitter.com/NathanBLawrence/status/996470551127310336", "996470551127310336")</f>
        <v/>
      </c>
      <c r="B632" s="2" t="n">
        <v>43235.80633101852</v>
      </c>
      <c r="C632" t="n">
        <v>0</v>
      </c>
      <c r="D632" t="n">
        <v>2294</v>
      </c>
      <c r="E632" t="s">
        <v>643</v>
      </c>
      <c r="F632" t="s"/>
      <c r="G632" t="s"/>
      <c r="H632" t="s"/>
      <c r="I632" t="s"/>
      <c r="J632" t="n">
        <v>-0.8176</v>
      </c>
      <c r="K632" t="n">
        <v>0.312</v>
      </c>
      <c r="L632" t="n">
        <v>0.601</v>
      </c>
      <c r="M632" t="n">
        <v>0.08699999999999999</v>
      </c>
    </row>
    <row r="633" spans="1:13">
      <c r="A633" s="1">
        <f>HYPERLINK("http://www.twitter.com/NathanBLawrence/status/996470481795649536", "996470481795649536")</f>
        <v/>
      </c>
      <c r="B633" s="2" t="n">
        <v>43235.80614583333</v>
      </c>
      <c r="C633" t="n">
        <v>0</v>
      </c>
      <c r="D633" t="n">
        <v>6</v>
      </c>
      <c r="E633" t="s">
        <v>644</v>
      </c>
      <c r="F633" t="s"/>
      <c r="G633" t="s"/>
      <c r="H633" t="s"/>
      <c r="I633" t="s"/>
      <c r="J633" t="n">
        <v>0.2732</v>
      </c>
      <c r="K633" t="n">
        <v>0</v>
      </c>
      <c r="L633" t="n">
        <v>0.884</v>
      </c>
      <c r="M633" t="n">
        <v>0.116</v>
      </c>
    </row>
    <row r="634" spans="1:13">
      <c r="A634" s="1">
        <f>HYPERLINK("http://www.twitter.com/NathanBLawrence/status/996470400170233856", "996470400170233856")</f>
        <v/>
      </c>
      <c r="B634" s="2" t="n">
        <v>43235.80591435185</v>
      </c>
      <c r="C634" t="n">
        <v>0</v>
      </c>
      <c r="D634" t="n">
        <v>7521</v>
      </c>
      <c r="E634" t="s">
        <v>645</v>
      </c>
      <c r="F634" t="s"/>
      <c r="G634" t="s"/>
      <c r="H634" t="s"/>
      <c r="I634" t="s"/>
      <c r="J634" t="n">
        <v>-0.4588</v>
      </c>
      <c r="K634" t="n">
        <v>0.125</v>
      </c>
      <c r="L634" t="n">
        <v>0.875</v>
      </c>
      <c r="M634" t="n">
        <v>0</v>
      </c>
    </row>
    <row r="635" spans="1:13">
      <c r="A635" s="1">
        <f>HYPERLINK("http://www.twitter.com/NathanBLawrence/status/996470313985691651", "996470313985691651")</f>
        <v/>
      </c>
      <c r="B635" s="2" t="n">
        <v>43235.80568287037</v>
      </c>
      <c r="C635" t="n">
        <v>0</v>
      </c>
      <c r="D635" t="n">
        <v>2968</v>
      </c>
      <c r="E635" t="s">
        <v>646</v>
      </c>
      <c r="F635" t="s"/>
      <c r="G635" t="s"/>
      <c r="H635" t="s"/>
      <c r="I635" t="s"/>
      <c r="J635" t="n">
        <v>-0.4588</v>
      </c>
      <c r="K635" t="n">
        <v>0.125</v>
      </c>
      <c r="L635" t="n">
        <v>0.875</v>
      </c>
      <c r="M635" t="n">
        <v>0</v>
      </c>
    </row>
    <row r="636" spans="1:13">
      <c r="A636" s="1">
        <f>HYPERLINK("http://www.twitter.com/NathanBLawrence/status/996470211984412673", "996470211984412673")</f>
        <v/>
      </c>
      <c r="B636" s="2" t="n">
        <v>43235.80539351852</v>
      </c>
      <c r="C636" t="n">
        <v>0</v>
      </c>
      <c r="D636" t="n">
        <v>5555</v>
      </c>
      <c r="E636" t="s">
        <v>647</v>
      </c>
      <c r="F636" t="s"/>
      <c r="G636" t="s"/>
      <c r="H636" t="s"/>
      <c r="I636" t="s"/>
      <c r="J636" t="n">
        <v>0.5994</v>
      </c>
      <c r="K636" t="n">
        <v>0</v>
      </c>
      <c r="L636" t="n">
        <v>0.772</v>
      </c>
      <c r="M636" t="n">
        <v>0.228</v>
      </c>
    </row>
    <row r="637" spans="1:13">
      <c r="A637" s="1">
        <f>HYPERLINK("http://www.twitter.com/NathanBLawrence/status/996470129201426433", "996470129201426433")</f>
        <v/>
      </c>
      <c r="B637" s="2" t="n">
        <v>43235.80516203704</v>
      </c>
      <c r="C637" t="n">
        <v>0</v>
      </c>
      <c r="D637" t="n">
        <v>2688</v>
      </c>
      <c r="E637" t="s">
        <v>648</v>
      </c>
      <c r="F637" t="s"/>
      <c r="G637" t="s"/>
      <c r="H637" t="s"/>
      <c r="I637" t="s"/>
      <c r="J637" t="n">
        <v>-0.296</v>
      </c>
      <c r="K637" t="n">
        <v>0.306</v>
      </c>
      <c r="L637" t="n">
        <v>0.694</v>
      </c>
      <c r="M637" t="n">
        <v>0</v>
      </c>
    </row>
    <row r="638" spans="1:13">
      <c r="A638" s="1">
        <f>HYPERLINK("http://www.twitter.com/NathanBLawrence/status/996467976411889664", "996467976411889664")</f>
        <v/>
      </c>
      <c r="B638" s="2" t="n">
        <v>43235.79922453704</v>
      </c>
      <c r="C638" t="n">
        <v>7</v>
      </c>
      <c r="D638" t="n">
        <v>0</v>
      </c>
      <c r="E638" t="s">
        <v>649</v>
      </c>
      <c r="F638" t="s"/>
      <c r="G638" t="s"/>
      <c r="H638" t="s"/>
      <c r="I638" t="s"/>
      <c r="J638" t="n">
        <v>-0.8779</v>
      </c>
      <c r="K638" t="n">
        <v>0.262</v>
      </c>
      <c r="L638" t="n">
        <v>0.705</v>
      </c>
      <c r="M638" t="n">
        <v>0.033</v>
      </c>
    </row>
    <row r="639" spans="1:13">
      <c r="A639" s="1">
        <f>HYPERLINK("http://www.twitter.com/NathanBLawrence/status/996455234980499457", "996455234980499457")</f>
        <v/>
      </c>
      <c r="B639" s="2" t="n">
        <v>43235.7640625</v>
      </c>
      <c r="C639" t="n">
        <v>0</v>
      </c>
      <c r="D639" t="n">
        <v>0</v>
      </c>
      <c r="E639" t="s">
        <v>650</v>
      </c>
      <c r="F639" t="s"/>
      <c r="G639" t="s"/>
      <c r="H639" t="s"/>
      <c r="I639" t="s"/>
      <c r="J639" t="n">
        <v>0</v>
      </c>
      <c r="K639" t="n">
        <v>0</v>
      </c>
      <c r="L639" t="n">
        <v>1</v>
      </c>
      <c r="M639" t="n">
        <v>0</v>
      </c>
    </row>
    <row r="640" spans="1:13">
      <c r="A640" s="1">
        <f>HYPERLINK("http://www.twitter.com/NathanBLawrence/status/996452824820019200", "996452824820019200")</f>
        <v/>
      </c>
      <c r="B640" s="2" t="n">
        <v>43235.75741898148</v>
      </c>
      <c r="C640" t="n">
        <v>5</v>
      </c>
      <c r="D640" t="n">
        <v>6</v>
      </c>
      <c r="E640" t="s">
        <v>651</v>
      </c>
      <c r="F640">
        <f>HYPERLINK("http://pbs.twimg.com/media/DdQb67tVMAA_mh6.jpg", "http://pbs.twimg.com/media/DdQb67tVMAA_mh6.jpg")</f>
        <v/>
      </c>
      <c r="G640" t="s"/>
      <c r="H640" t="s"/>
      <c r="I640" t="s"/>
      <c r="J640" t="n">
        <v>0.5859</v>
      </c>
      <c r="K640" t="n">
        <v>0.045</v>
      </c>
      <c r="L640" t="n">
        <v>0.826</v>
      </c>
      <c r="M640" t="n">
        <v>0.129</v>
      </c>
    </row>
    <row r="641" spans="1:13">
      <c r="A641" s="1">
        <f>HYPERLINK("http://www.twitter.com/NathanBLawrence/status/996449960232026112", "996449960232026112")</f>
        <v/>
      </c>
      <c r="B641" s="2" t="n">
        <v>43235.74951388889</v>
      </c>
      <c r="C641" t="n">
        <v>1</v>
      </c>
      <c r="D641" t="n">
        <v>1</v>
      </c>
      <c r="E641" t="s">
        <v>652</v>
      </c>
      <c r="F641">
        <f>HYPERLINK("http://pbs.twimg.com/media/DdQZJBqV4AACoUi.jpg", "http://pbs.twimg.com/media/DdQZJBqV4AACoUi.jpg")</f>
        <v/>
      </c>
      <c r="G641" t="s"/>
      <c r="H641" t="s"/>
      <c r="I641" t="s"/>
      <c r="J641" t="n">
        <v>0.5859</v>
      </c>
      <c r="K641" t="n">
        <v>0.046</v>
      </c>
      <c r="L641" t="n">
        <v>0.822</v>
      </c>
      <c r="M641" t="n">
        <v>0.132</v>
      </c>
    </row>
    <row r="642" spans="1:13">
      <c r="A642" s="1">
        <f>HYPERLINK("http://www.twitter.com/NathanBLawrence/status/996425940912635904", "996425940912635904")</f>
        <v/>
      </c>
      <c r="B642" s="2" t="n">
        <v>43235.68322916667</v>
      </c>
      <c r="C642" t="n">
        <v>3</v>
      </c>
      <c r="D642" t="n">
        <v>0</v>
      </c>
      <c r="E642" t="s">
        <v>653</v>
      </c>
      <c r="F642" t="s"/>
      <c r="G642" t="s"/>
      <c r="H642" t="s"/>
      <c r="I642" t="s"/>
      <c r="J642" t="n">
        <v>-0.0772</v>
      </c>
      <c r="K642" t="n">
        <v>0.061</v>
      </c>
      <c r="L642" t="n">
        <v>0.886</v>
      </c>
      <c r="M642" t="n">
        <v>0.054</v>
      </c>
    </row>
    <row r="643" spans="1:13">
      <c r="A643" s="1">
        <f>HYPERLINK("http://www.twitter.com/NathanBLawrence/status/996422994732892162", "996422994732892162")</f>
        <v/>
      </c>
      <c r="B643" s="2" t="n">
        <v>43235.67510416666</v>
      </c>
      <c r="C643" t="n">
        <v>1</v>
      </c>
      <c r="D643" t="n">
        <v>1</v>
      </c>
      <c r="E643" t="s">
        <v>654</v>
      </c>
      <c r="F643" t="s"/>
      <c r="G643" t="s"/>
      <c r="H643" t="s"/>
      <c r="I643" t="s"/>
      <c r="J643" t="n">
        <v>-0.5719</v>
      </c>
      <c r="K643" t="n">
        <v>0.252</v>
      </c>
      <c r="L643" t="n">
        <v>0.748</v>
      </c>
      <c r="M643" t="n">
        <v>0</v>
      </c>
    </row>
    <row r="644" spans="1:13">
      <c r="A644" s="1">
        <f>HYPERLINK("http://www.twitter.com/NathanBLawrence/status/996422634895163393", "996422634895163393")</f>
        <v/>
      </c>
      <c r="B644" s="2" t="n">
        <v>43235.67410879629</v>
      </c>
      <c r="C644" t="n">
        <v>0</v>
      </c>
      <c r="D644" t="n">
        <v>51</v>
      </c>
      <c r="E644" t="s">
        <v>655</v>
      </c>
      <c r="F644" t="s"/>
      <c r="G644" t="s"/>
      <c r="H644" t="s"/>
      <c r="I644" t="s"/>
      <c r="J644" t="n">
        <v>-0.7003</v>
      </c>
      <c r="K644" t="n">
        <v>0.286</v>
      </c>
      <c r="L644" t="n">
        <v>0.714</v>
      </c>
      <c r="M644" t="n">
        <v>0</v>
      </c>
    </row>
    <row r="645" spans="1:13">
      <c r="A645" s="1">
        <f>HYPERLINK("http://www.twitter.com/NathanBLawrence/status/996420550737117189", "996420550737117189")</f>
        <v/>
      </c>
      <c r="B645" s="2" t="n">
        <v>43235.66835648148</v>
      </c>
      <c r="C645" t="n">
        <v>0</v>
      </c>
      <c r="D645" t="n">
        <v>80</v>
      </c>
      <c r="E645" t="s">
        <v>656</v>
      </c>
      <c r="F645" t="s"/>
      <c r="G645" t="s"/>
      <c r="H645" t="s"/>
      <c r="I645" t="s"/>
      <c r="J645" t="n">
        <v>-0.7906</v>
      </c>
      <c r="K645" t="n">
        <v>0.333</v>
      </c>
      <c r="L645" t="n">
        <v>0.667</v>
      </c>
      <c r="M645" t="n">
        <v>0</v>
      </c>
    </row>
    <row r="646" spans="1:13">
      <c r="A646" s="1">
        <f>HYPERLINK("http://www.twitter.com/NathanBLawrence/status/996419656641466369", "996419656641466369")</f>
        <v/>
      </c>
      <c r="B646" s="2" t="n">
        <v>43235.6658912037</v>
      </c>
      <c r="C646" t="n">
        <v>0</v>
      </c>
      <c r="D646" t="n">
        <v>4</v>
      </c>
      <c r="E646" t="s">
        <v>657</v>
      </c>
      <c r="F646" t="s"/>
      <c r="G646" t="s"/>
      <c r="H646" t="s"/>
      <c r="I646" t="s"/>
      <c r="J646" t="n">
        <v>-0.5868</v>
      </c>
      <c r="K646" t="n">
        <v>0.203</v>
      </c>
      <c r="L646" t="n">
        <v>0.719</v>
      </c>
      <c r="M646" t="n">
        <v>0.078</v>
      </c>
    </row>
    <row r="647" spans="1:13">
      <c r="A647" s="1">
        <f>HYPERLINK("http://www.twitter.com/NathanBLawrence/status/996419173361201153", "996419173361201153")</f>
        <v/>
      </c>
      <c r="B647" s="2" t="n">
        <v>43235.66456018519</v>
      </c>
      <c r="C647" t="n">
        <v>0</v>
      </c>
      <c r="D647" t="n">
        <v>4</v>
      </c>
      <c r="E647" t="s">
        <v>658</v>
      </c>
      <c r="F647">
        <f>HYPERLINK("http://pbs.twimg.com/media/DdPm11nXcAA8Xvh.jpg", "http://pbs.twimg.com/media/DdPm11nXcAA8Xvh.jpg")</f>
        <v/>
      </c>
      <c r="G647" t="s"/>
      <c r="H647" t="s"/>
      <c r="I647" t="s"/>
      <c r="J647" t="n">
        <v>-0.4215</v>
      </c>
      <c r="K647" t="n">
        <v>0.183</v>
      </c>
      <c r="L647" t="n">
        <v>0.8169999999999999</v>
      </c>
      <c r="M647" t="n">
        <v>0</v>
      </c>
    </row>
    <row r="648" spans="1:13">
      <c r="A648" s="1">
        <f>HYPERLINK("http://www.twitter.com/NathanBLawrence/status/996418758393577473", "996418758393577473")</f>
        <v/>
      </c>
      <c r="B648" s="2" t="n">
        <v>43235.66341435185</v>
      </c>
      <c r="C648" t="n">
        <v>0</v>
      </c>
      <c r="D648" t="n">
        <v>0</v>
      </c>
      <c r="E648" t="s">
        <v>659</v>
      </c>
      <c r="F648" t="s"/>
      <c r="G648" t="s"/>
      <c r="H648" t="s"/>
      <c r="I648" t="s"/>
      <c r="J648" t="n">
        <v>-0.5423</v>
      </c>
      <c r="K648" t="n">
        <v>0.089</v>
      </c>
      <c r="L648" t="n">
        <v>0.911</v>
      </c>
      <c r="M648" t="n">
        <v>0</v>
      </c>
    </row>
    <row r="649" spans="1:13">
      <c r="A649" s="1">
        <f>HYPERLINK("http://www.twitter.com/NathanBLawrence/status/996417287665025025", "996417287665025025")</f>
        <v/>
      </c>
      <c r="B649" s="2" t="n">
        <v>43235.65935185185</v>
      </c>
      <c r="C649" t="n">
        <v>0</v>
      </c>
      <c r="D649" t="n">
        <v>5</v>
      </c>
      <c r="E649" t="s">
        <v>660</v>
      </c>
      <c r="F649">
        <f>HYPERLINK("http://pbs.twimg.com/media/DdP7hcEWkAEuUqP.jpg", "http://pbs.twimg.com/media/DdP7hcEWkAEuUqP.jpg")</f>
        <v/>
      </c>
      <c r="G649" t="s"/>
      <c r="H649" t="s"/>
      <c r="I649" t="s"/>
      <c r="J649" t="n">
        <v>0</v>
      </c>
      <c r="K649" t="n">
        <v>0</v>
      </c>
      <c r="L649" t="n">
        <v>1</v>
      </c>
      <c r="M649" t="n">
        <v>0</v>
      </c>
    </row>
    <row r="650" spans="1:13">
      <c r="A650" s="1">
        <f>HYPERLINK("http://www.twitter.com/NathanBLawrence/status/996415907336306688", "996415907336306688")</f>
        <v/>
      </c>
      <c r="B650" s="2" t="n">
        <v>43235.65554398148</v>
      </c>
      <c r="C650" t="n">
        <v>0</v>
      </c>
      <c r="D650" t="n">
        <v>3</v>
      </c>
      <c r="E650" t="s">
        <v>661</v>
      </c>
      <c r="F650" t="s"/>
      <c r="G650" t="s"/>
      <c r="H650" t="s"/>
      <c r="I650" t="s"/>
      <c r="J650" t="n">
        <v>0</v>
      </c>
      <c r="K650" t="n">
        <v>0</v>
      </c>
      <c r="L650" t="n">
        <v>1</v>
      </c>
      <c r="M650" t="n">
        <v>0</v>
      </c>
    </row>
    <row r="651" spans="1:13">
      <c r="A651" s="1">
        <f>HYPERLINK("http://www.twitter.com/NathanBLawrence/status/996415866169245696", "996415866169245696")</f>
        <v/>
      </c>
      <c r="B651" s="2" t="n">
        <v>43235.65542824074</v>
      </c>
      <c r="C651" t="n">
        <v>0</v>
      </c>
      <c r="D651" t="n">
        <v>14</v>
      </c>
      <c r="E651" t="s">
        <v>662</v>
      </c>
      <c r="F651">
        <f>HYPERLINK("http://pbs.twimg.com/media/DdP19WSW0AIpwmF.jpg", "http://pbs.twimg.com/media/DdP19WSW0AIpwmF.jpg")</f>
        <v/>
      </c>
      <c r="G651" t="s"/>
      <c r="H651" t="s"/>
      <c r="I651" t="s"/>
      <c r="J651" t="n">
        <v>-0.1027</v>
      </c>
      <c r="K651" t="n">
        <v>0.055</v>
      </c>
      <c r="L651" t="n">
        <v>0.945</v>
      </c>
      <c r="M651" t="n">
        <v>0</v>
      </c>
    </row>
    <row r="652" spans="1:13">
      <c r="A652" s="1">
        <f>HYPERLINK("http://www.twitter.com/NathanBLawrence/status/996415840978223104", "996415840978223104")</f>
        <v/>
      </c>
      <c r="B652" s="2" t="n">
        <v>43235.6553587963</v>
      </c>
      <c r="C652" t="n">
        <v>0</v>
      </c>
      <c r="D652" t="n">
        <v>14</v>
      </c>
      <c r="E652" t="s">
        <v>663</v>
      </c>
      <c r="F652">
        <f>HYPERLINK("http://pbs.twimg.com/media/DdPsE9kX4AANtB5.jpg", "http://pbs.twimg.com/media/DdPsE9kX4AANtB5.jpg")</f>
        <v/>
      </c>
      <c r="G652" t="s"/>
      <c r="H652" t="s"/>
      <c r="I652" t="s"/>
      <c r="J652" t="n">
        <v>-0.1027</v>
      </c>
      <c r="K652" t="n">
        <v>0.057</v>
      </c>
      <c r="L652" t="n">
        <v>0.9429999999999999</v>
      </c>
      <c r="M652" t="n">
        <v>0</v>
      </c>
    </row>
    <row r="653" spans="1:13">
      <c r="A653" s="1">
        <f>HYPERLINK("http://www.twitter.com/NathanBLawrence/status/996415818517831681", "996415818517831681")</f>
        <v/>
      </c>
      <c r="B653" s="2" t="n">
        <v>43235.65530092592</v>
      </c>
      <c r="C653" t="n">
        <v>0</v>
      </c>
      <c r="D653" t="n">
        <v>12</v>
      </c>
      <c r="E653" t="s">
        <v>664</v>
      </c>
      <c r="F653">
        <f>HYPERLINK("http://pbs.twimg.com/media/DdPla3WXkAAPWcQ.jpg", "http://pbs.twimg.com/media/DdPla3WXkAAPWcQ.jpg")</f>
        <v/>
      </c>
      <c r="G653" t="s"/>
      <c r="H653" t="s"/>
      <c r="I653" t="s"/>
      <c r="J653" t="n">
        <v>-0.1027</v>
      </c>
      <c r="K653" t="n">
        <v>0.057</v>
      </c>
      <c r="L653" t="n">
        <v>0.9429999999999999</v>
      </c>
      <c r="M653" t="n">
        <v>0</v>
      </c>
    </row>
    <row r="654" spans="1:13">
      <c r="A654" s="1">
        <f>HYPERLINK("http://www.twitter.com/NathanBLawrence/status/996414144113864706", "996414144113864706")</f>
        <v/>
      </c>
      <c r="B654" s="2" t="n">
        <v>43235.65068287037</v>
      </c>
      <c r="C654" t="n">
        <v>0</v>
      </c>
      <c r="D654" t="n">
        <v>13</v>
      </c>
      <c r="E654" t="s">
        <v>665</v>
      </c>
      <c r="F654">
        <f>HYPERLINK("http://pbs.twimg.com/media/DdPkGvmW4AUceFf.jpg", "http://pbs.twimg.com/media/DdPkGvmW4AUceFf.jpg")</f>
        <v/>
      </c>
      <c r="G654" t="s"/>
      <c r="H654" t="s"/>
      <c r="I654" t="s"/>
      <c r="J654" t="n">
        <v>-0.1027</v>
      </c>
      <c r="K654" t="n">
        <v>0.055</v>
      </c>
      <c r="L654" t="n">
        <v>0.945</v>
      </c>
      <c r="M654" t="n">
        <v>0</v>
      </c>
    </row>
    <row r="655" spans="1:13">
      <c r="A655" s="1">
        <f>HYPERLINK("http://www.twitter.com/NathanBLawrence/status/996413863514943489", "996413863514943489")</f>
        <v/>
      </c>
      <c r="B655" s="2" t="n">
        <v>43235.64990740741</v>
      </c>
      <c r="C655" t="n">
        <v>0</v>
      </c>
      <c r="D655" t="n">
        <v>2992</v>
      </c>
      <c r="E655" t="s">
        <v>666</v>
      </c>
      <c r="F655">
        <f>HYPERLINK("http://pbs.twimg.com/media/Dc_wNESWsAEW9uE.jpg", "http://pbs.twimg.com/media/Dc_wNESWsAEW9uE.jpg")</f>
        <v/>
      </c>
      <c r="G655" t="s"/>
      <c r="H655" t="s"/>
      <c r="I655" t="s"/>
      <c r="J655" t="n">
        <v>0.9629</v>
      </c>
      <c r="K655" t="n">
        <v>0</v>
      </c>
      <c r="L655" t="n">
        <v>0.431</v>
      </c>
      <c r="M655" t="n">
        <v>0.569</v>
      </c>
    </row>
    <row r="656" spans="1:13">
      <c r="A656" s="1">
        <f>HYPERLINK("http://www.twitter.com/NathanBLawrence/status/996413666659418113", "996413666659418113")</f>
        <v/>
      </c>
      <c r="B656" s="2" t="n">
        <v>43235.64936342592</v>
      </c>
      <c r="C656" t="n">
        <v>0</v>
      </c>
      <c r="D656" t="n">
        <v>8449</v>
      </c>
      <c r="E656" t="s">
        <v>667</v>
      </c>
      <c r="F656">
        <f>HYPERLINK("http://pbs.twimg.com/media/DdCOfSBUQAAytiR.jpg", "http://pbs.twimg.com/media/DdCOfSBUQAAytiR.jpg")</f>
        <v/>
      </c>
      <c r="G656" t="s"/>
      <c r="H656" t="s"/>
      <c r="I656" t="s"/>
      <c r="J656" t="n">
        <v>0.7184</v>
      </c>
      <c r="K656" t="n">
        <v>0</v>
      </c>
      <c r="L656" t="n">
        <v>0.76</v>
      </c>
      <c r="M656" t="n">
        <v>0.24</v>
      </c>
    </row>
    <row r="657" spans="1:13">
      <c r="A657" s="1">
        <f>HYPERLINK("http://www.twitter.com/NathanBLawrence/status/996413524552306688", "996413524552306688")</f>
        <v/>
      </c>
      <c r="B657" s="2" t="n">
        <v>43235.64896990741</v>
      </c>
      <c r="C657" t="n">
        <v>0</v>
      </c>
      <c r="D657" t="n">
        <v>734</v>
      </c>
      <c r="E657" t="s">
        <v>668</v>
      </c>
      <c r="F657">
        <f>HYPERLINK("https://video.twimg.com/ext_tw_video/995657064406962181/pu/vid/1280x720/fofH0La1m0UAz6ta.mp4?tag=3", "https://video.twimg.com/ext_tw_video/995657064406962181/pu/vid/1280x720/fofH0La1m0UAz6ta.mp4?tag=3")</f>
        <v/>
      </c>
      <c r="G657" t="s"/>
      <c r="H657" t="s"/>
      <c r="I657" t="s"/>
      <c r="J657" t="n">
        <v>0</v>
      </c>
      <c r="K657" t="n">
        <v>0</v>
      </c>
      <c r="L657" t="n">
        <v>1</v>
      </c>
      <c r="M657" t="n">
        <v>0</v>
      </c>
    </row>
    <row r="658" spans="1:13">
      <c r="A658" s="1">
        <f>HYPERLINK("http://www.twitter.com/NathanBLawrence/status/996413339726036998", "996413339726036998")</f>
        <v/>
      </c>
      <c r="B658" s="2" t="n">
        <v>43235.64846064815</v>
      </c>
      <c r="C658" t="n">
        <v>0</v>
      </c>
      <c r="D658" t="n">
        <v>2231</v>
      </c>
      <c r="E658" t="s">
        <v>669</v>
      </c>
      <c r="F658">
        <f>HYPERLINK("https://video.twimg.com/amplify_video/996025342585425920/vid/1280x720/O1PCEAusWejITvq2.mp4?tag=2", "https://video.twimg.com/amplify_video/996025342585425920/vid/1280x720/O1PCEAusWejITvq2.mp4?tag=2")</f>
        <v/>
      </c>
      <c r="G658" t="s"/>
      <c r="H658" t="s"/>
      <c r="I658" t="s"/>
      <c r="J658" t="n">
        <v>0.3182</v>
      </c>
      <c r="K658" t="n">
        <v>0</v>
      </c>
      <c r="L658" t="n">
        <v>0.839</v>
      </c>
      <c r="M658" t="n">
        <v>0.161</v>
      </c>
    </row>
    <row r="659" spans="1:13">
      <c r="A659" s="1">
        <f>HYPERLINK("http://www.twitter.com/NathanBLawrence/status/996413314950352897", "996413314950352897")</f>
        <v/>
      </c>
      <c r="B659" s="2" t="n">
        <v>43235.6483912037</v>
      </c>
      <c r="C659" t="n">
        <v>0</v>
      </c>
      <c r="D659" t="n">
        <v>2372</v>
      </c>
      <c r="E659" t="s">
        <v>670</v>
      </c>
      <c r="F659">
        <f>HYPERLINK("https://video.twimg.com/amplify_video/996023838302527489/vid/1280x720/gJC1Nzha7Bv1Tqs-.mp4?tag=2", "https://video.twimg.com/amplify_video/996023838302527489/vid/1280x720/gJC1Nzha7Bv1Tqs-.mp4?tag=2")</f>
        <v/>
      </c>
      <c r="G659" t="s"/>
      <c r="H659" t="s"/>
      <c r="I659" t="s"/>
      <c r="J659" t="n">
        <v>0.6113</v>
      </c>
      <c r="K659" t="n">
        <v>0</v>
      </c>
      <c r="L659" t="n">
        <v>0.857</v>
      </c>
      <c r="M659" t="n">
        <v>0.143</v>
      </c>
    </row>
    <row r="660" spans="1:13">
      <c r="A660" s="1">
        <f>HYPERLINK("http://www.twitter.com/NathanBLawrence/status/996413233685712897", "996413233685712897")</f>
        <v/>
      </c>
      <c r="B660" s="2" t="n">
        <v>43235.6481712963</v>
      </c>
      <c r="C660" t="n">
        <v>0</v>
      </c>
      <c r="D660" t="n">
        <v>4630</v>
      </c>
      <c r="E660" t="s">
        <v>671</v>
      </c>
      <c r="F660" t="s"/>
      <c r="G660" t="s"/>
      <c r="H660" t="s"/>
      <c r="I660" t="s"/>
      <c r="J660" t="n">
        <v>0.802</v>
      </c>
      <c r="K660" t="n">
        <v>0</v>
      </c>
      <c r="L660" t="n">
        <v>0.714</v>
      </c>
      <c r="M660" t="n">
        <v>0.286</v>
      </c>
    </row>
    <row r="661" spans="1:13">
      <c r="A661" s="1">
        <f>HYPERLINK("http://www.twitter.com/NathanBLawrence/status/996413129587240965", "996413129587240965")</f>
        <v/>
      </c>
      <c r="B661" s="2" t="n">
        <v>43235.64788194445</v>
      </c>
      <c r="C661" t="n">
        <v>0</v>
      </c>
      <c r="D661" t="n">
        <v>273</v>
      </c>
      <c r="E661" t="s">
        <v>672</v>
      </c>
      <c r="F661">
        <f>HYPERLINK("http://pbs.twimg.com/media/DdG0mPDW4AAV85N.jpg", "http://pbs.twimg.com/media/DdG0mPDW4AAV85N.jpg")</f>
        <v/>
      </c>
      <c r="G661">
        <f>HYPERLINK("http://pbs.twimg.com/media/DdG0mPCWkAA99XN.jpg", "http://pbs.twimg.com/media/DdG0mPCWkAA99XN.jpg")</f>
        <v/>
      </c>
      <c r="H661">
        <f>HYPERLINK("http://pbs.twimg.com/media/DdG0mPCW4AIBDWP.jpg", "http://pbs.twimg.com/media/DdG0mPCW4AIBDWP.jpg")</f>
        <v/>
      </c>
      <c r="I661">
        <f>HYPERLINK("http://pbs.twimg.com/media/DdG0mO7WsAEETcZ.jpg", "http://pbs.twimg.com/media/DdG0mO7WsAEETcZ.jpg")</f>
        <v/>
      </c>
      <c r="J661" t="n">
        <v>0</v>
      </c>
      <c r="K661" t="n">
        <v>0</v>
      </c>
      <c r="L661" t="n">
        <v>1</v>
      </c>
      <c r="M661" t="n">
        <v>0</v>
      </c>
    </row>
    <row r="662" spans="1:13">
      <c r="A662" s="1">
        <f>HYPERLINK("http://www.twitter.com/NathanBLawrence/status/996412748954091520", "996412748954091520")</f>
        <v/>
      </c>
      <c r="B662" s="2" t="n">
        <v>43235.64682870371</v>
      </c>
      <c r="C662" t="n">
        <v>0</v>
      </c>
      <c r="D662" t="n">
        <v>278</v>
      </c>
      <c r="E662" t="s">
        <v>673</v>
      </c>
      <c r="F662">
        <f>HYPERLINK("http://pbs.twimg.com/media/DdJkNClWAAAFeQW.jpg", "http://pbs.twimg.com/media/DdJkNClWAAAFeQW.jpg")</f>
        <v/>
      </c>
      <c r="G662">
        <f>HYPERLINK("http://pbs.twimg.com/media/DdJkNCkWAAINZr5.jpg", "http://pbs.twimg.com/media/DdJkNCkWAAINZr5.jpg")</f>
        <v/>
      </c>
      <c r="H662" t="s"/>
      <c r="I662" t="s"/>
      <c r="J662" t="n">
        <v>0.2975</v>
      </c>
      <c r="K662" t="n">
        <v>0</v>
      </c>
      <c r="L662" t="n">
        <v>0.901</v>
      </c>
      <c r="M662" t="n">
        <v>0.099</v>
      </c>
    </row>
    <row r="663" spans="1:13">
      <c r="A663" s="1">
        <f>HYPERLINK("http://www.twitter.com/NathanBLawrence/status/996412425455910914", "996412425455910914")</f>
        <v/>
      </c>
      <c r="B663" s="2" t="n">
        <v>43235.6459375</v>
      </c>
      <c r="C663" t="n">
        <v>0</v>
      </c>
      <c r="D663" t="n">
        <v>4899</v>
      </c>
      <c r="E663" t="s">
        <v>674</v>
      </c>
      <c r="F663" t="s"/>
      <c r="G663" t="s"/>
      <c r="H663" t="s"/>
      <c r="I663" t="s"/>
      <c r="J663" t="n">
        <v>0</v>
      </c>
      <c r="K663" t="n">
        <v>0</v>
      </c>
      <c r="L663" t="n">
        <v>1</v>
      </c>
      <c r="M663" t="n">
        <v>0</v>
      </c>
    </row>
    <row r="664" spans="1:13">
      <c r="A664" s="1">
        <f>HYPERLINK("http://www.twitter.com/NathanBLawrence/status/996412336494673923", "996412336494673923")</f>
        <v/>
      </c>
      <c r="B664" s="2" t="n">
        <v>43235.64569444444</v>
      </c>
      <c r="C664" t="n">
        <v>0</v>
      </c>
      <c r="D664" t="n">
        <v>512</v>
      </c>
      <c r="E664" t="s">
        <v>675</v>
      </c>
      <c r="F664">
        <f>HYPERLINK("http://pbs.twimg.com/media/DdPHVq-WAAAJoB3.jpg", "http://pbs.twimg.com/media/DdPHVq-WAAAJoB3.jpg")</f>
        <v/>
      </c>
      <c r="G664" t="s"/>
      <c r="H664" t="s"/>
      <c r="I664" t="s"/>
      <c r="J664" t="n">
        <v>0.8883</v>
      </c>
      <c r="K664" t="n">
        <v>0</v>
      </c>
      <c r="L664" t="n">
        <v>0.623</v>
      </c>
      <c r="M664" t="n">
        <v>0.377</v>
      </c>
    </row>
    <row r="665" spans="1:13">
      <c r="A665" s="1">
        <f>HYPERLINK("http://www.twitter.com/NathanBLawrence/status/996411657369804801", "996411657369804801")</f>
        <v/>
      </c>
      <c r="B665" s="2" t="n">
        <v>43235.64381944444</v>
      </c>
      <c r="C665" t="n">
        <v>0</v>
      </c>
      <c r="D665" t="n">
        <v>3523</v>
      </c>
      <c r="E665" t="s">
        <v>676</v>
      </c>
      <c r="F665" t="s"/>
      <c r="G665" t="s"/>
      <c r="H665" t="s"/>
      <c r="I665" t="s"/>
      <c r="J665" t="n">
        <v>0.9001</v>
      </c>
      <c r="K665" t="n">
        <v>0</v>
      </c>
      <c r="L665" t="n">
        <v>0.586</v>
      </c>
      <c r="M665" t="n">
        <v>0.414</v>
      </c>
    </row>
    <row r="666" spans="1:13">
      <c r="A666" s="1">
        <f>HYPERLINK("http://www.twitter.com/NathanBLawrence/status/996411508329332736", "996411508329332736")</f>
        <v/>
      </c>
      <c r="B666" s="2" t="n">
        <v>43235.64340277778</v>
      </c>
      <c r="C666" t="n">
        <v>0</v>
      </c>
      <c r="D666" t="n">
        <v>31884</v>
      </c>
      <c r="E666" t="s">
        <v>677</v>
      </c>
      <c r="F666" t="s"/>
      <c r="G666" t="s"/>
      <c r="H666" t="s"/>
      <c r="I666" t="s"/>
      <c r="J666" t="n">
        <v>0.636</v>
      </c>
      <c r="K666" t="n">
        <v>0</v>
      </c>
      <c r="L666" t="n">
        <v>0.589</v>
      </c>
      <c r="M666" t="n">
        <v>0.411</v>
      </c>
    </row>
    <row r="667" spans="1:13">
      <c r="A667" s="1">
        <f>HYPERLINK("http://www.twitter.com/NathanBLawrence/status/996411477866135552", "996411477866135552")</f>
        <v/>
      </c>
      <c r="B667" s="2" t="n">
        <v>43235.64332175926</v>
      </c>
      <c r="C667" t="n">
        <v>0</v>
      </c>
      <c r="D667" t="n">
        <v>16006</v>
      </c>
      <c r="E667" t="s">
        <v>678</v>
      </c>
      <c r="F667" t="s"/>
      <c r="G667" t="s"/>
      <c r="H667" t="s"/>
      <c r="I667" t="s"/>
      <c r="J667" t="n">
        <v>0</v>
      </c>
      <c r="K667" t="n">
        <v>0</v>
      </c>
      <c r="L667" t="n">
        <v>1</v>
      </c>
      <c r="M667" t="n">
        <v>0</v>
      </c>
    </row>
    <row r="668" spans="1:13">
      <c r="A668" s="1">
        <f>HYPERLINK("http://www.twitter.com/NathanBLawrence/status/996411395397763073", "996411395397763073")</f>
        <v/>
      </c>
      <c r="B668" s="2" t="n">
        <v>43235.64309027778</v>
      </c>
      <c r="C668" t="n">
        <v>0</v>
      </c>
      <c r="D668" t="n">
        <v>12511</v>
      </c>
      <c r="E668" t="s">
        <v>679</v>
      </c>
      <c r="F668" t="s"/>
      <c r="G668" t="s"/>
      <c r="H668" t="s"/>
      <c r="I668" t="s"/>
      <c r="J668" t="n">
        <v>0</v>
      </c>
      <c r="K668" t="n">
        <v>0</v>
      </c>
      <c r="L668" t="n">
        <v>1</v>
      </c>
      <c r="M668" t="n">
        <v>0</v>
      </c>
    </row>
    <row r="669" spans="1:13">
      <c r="A669" s="1">
        <f>HYPERLINK("http://www.twitter.com/NathanBLawrence/status/996411315731156992", "996411315731156992")</f>
        <v/>
      </c>
      <c r="B669" s="2" t="n">
        <v>43235.64287037037</v>
      </c>
      <c r="C669" t="n">
        <v>0</v>
      </c>
      <c r="D669" t="n">
        <v>26555</v>
      </c>
      <c r="E669" t="s">
        <v>680</v>
      </c>
      <c r="F669" t="s"/>
      <c r="G669" t="s"/>
      <c r="H669" t="s"/>
      <c r="I669" t="s"/>
      <c r="J669" t="n">
        <v>-0.4767</v>
      </c>
      <c r="K669" t="n">
        <v>0.119</v>
      </c>
      <c r="L669" t="n">
        <v>0.881</v>
      </c>
      <c r="M669" t="n">
        <v>0</v>
      </c>
    </row>
    <row r="670" spans="1:13">
      <c r="A670" s="1">
        <f>HYPERLINK("http://www.twitter.com/NathanBLawrence/status/996411261054107648", "996411261054107648")</f>
        <v/>
      </c>
      <c r="B670" s="2" t="n">
        <v>43235.64271990741</v>
      </c>
      <c r="C670" t="n">
        <v>0</v>
      </c>
      <c r="D670" t="n">
        <v>22792</v>
      </c>
      <c r="E670" t="s">
        <v>681</v>
      </c>
      <c r="F670" t="s"/>
      <c r="G670" t="s"/>
      <c r="H670" t="s"/>
      <c r="I670" t="s"/>
      <c r="J670" t="n">
        <v>0.836</v>
      </c>
      <c r="K670" t="n">
        <v>0</v>
      </c>
      <c r="L670" t="n">
        <v>0.717</v>
      </c>
      <c r="M670" t="n">
        <v>0.283</v>
      </c>
    </row>
    <row r="671" spans="1:13">
      <c r="A671" s="1">
        <f>HYPERLINK("http://www.twitter.com/NathanBLawrence/status/996411196755472384", "996411196755472384")</f>
        <v/>
      </c>
      <c r="B671" s="2" t="n">
        <v>43235.64254629629</v>
      </c>
      <c r="C671" t="n">
        <v>0</v>
      </c>
      <c r="D671" t="n">
        <v>8040</v>
      </c>
      <c r="E671" t="s">
        <v>682</v>
      </c>
      <c r="F671" t="s"/>
      <c r="G671" t="s"/>
      <c r="H671" t="s"/>
      <c r="I671" t="s"/>
      <c r="J671" t="n">
        <v>0</v>
      </c>
      <c r="K671" t="n">
        <v>0</v>
      </c>
      <c r="L671" t="n">
        <v>1</v>
      </c>
      <c r="M671" t="n">
        <v>0</v>
      </c>
    </row>
    <row r="672" spans="1:13">
      <c r="A672" s="1">
        <f>HYPERLINK("http://www.twitter.com/NathanBLawrence/status/996411097824415744", "996411097824415744")</f>
        <v/>
      </c>
      <c r="B672" s="2" t="n">
        <v>43235.64226851852</v>
      </c>
      <c r="C672" t="n">
        <v>0</v>
      </c>
      <c r="D672" t="n">
        <v>8099</v>
      </c>
      <c r="E672" t="s">
        <v>683</v>
      </c>
      <c r="F672" t="s"/>
      <c r="G672" t="s"/>
      <c r="H672" t="s"/>
      <c r="I672" t="s"/>
      <c r="J672" t="n">
        <v>0</v>
      </c>
      <c r="K672" t="n">
        <v>0</v>
      </c>
      <c r="L672" t="n">
        <v>1</v>
      </c>
      <c r="M672" t="n">
        <v>0</v>
      </c>
    </row>
    <row r="673" spans="1:13">
      <c r="A673" s="1">
        <f>HYPERLINK("http://www.twitter.com/NathanBLawrence/status/996411034591117313", "996411034591117313")</f>
        <v/>
      </c>
      <c r="B673" s="2" t="n">
        <v>43235.64209490741</v>
      </c>
      <c r="C673" t="n">
        <v>0</v>
      </c>
      <c r="D673" t="n">
        <v>32034</v>
      </c>
      <c r="E673" t="s">
        <v>684</v>
      </c>
      <c r="F673" t="s"/>
      <c r="G673" t="s"/>
      <c r="H673" t="s"/>
      <c r="I673" t="s"/>
      <c r="J673" t="n">
        <v>-0.4767</v>
      </c>
      <c r="K673" t="n">
        <v>0.119</v>
      </c>
      <c r="L673" t="n">
        <v>0.881</v>
      </c>
      <c r="M673" t="n">
        <v>0</v>
      </c>
    </row>
    <row r="674" spans="1:13">
      <c r="A674" s="1">
        <f>HYPERLINK("http://www.twitter.com/NathanBLawrence/status/996410883826831362", "996410883826831362")</f>
        <v/>
      </c>
      <c r="B674" s="2" t="n">
        <v>43235.64167824074</v>
      </c>
      <c r="C674" t="n">
        <v>0</v>
      </c>
      <c r="D674" t="n">
        <v>21198</v>
      </c>
      <c r="E674" t="s">
        <v>685</v>
      </c>
      <c r="F674" t="s"/>
      <c r="G674" t="s"/>
      <c r="H674" t="s"/>
      <c r="I674" t="s"/>
      <c r="J674" t="n">
        <v>0.9256</v>
      </c>
      <c r="K674" t="n">
        <v>0</v>
      </c>
      <c r="L674" t="n">
        <v>0.609</v>
      </c>
      <c r="M674" t="n">
        <v>0.391</v>
      </c>
    </row>
    <row r="675" spans="1:13">
      <c r="A675" s="1">
        <f>HYPERLINK("http://www.twitter.com/NathanBLawrence/status/996410794014212096", "996410794014212096")</f>
        <v/>
      </c>
      <c r="B675" s="2" t="n">
        <v>43235.64143518519</v>
      </c>
      <c r="C675" t="n">
        <v>1</v>
      </c>
      <c r="D675" t="n">
        <v>1</v>
      </c>
      <c r="E675" t="s">
        <v>686</v>
      </c>
      <c r="F675" t="s"/>
      <c r="G675" t="s"/>
      <c r="H675" t="s"/>
      <c r="I675" t="s"/>
      <c r="J675" t="n">
        <v>0.3612</v>
      </c>
      <c r="K675" t="n">
        <v>0</v>
      </c>
      <c r="L675" t="n">
        <v>0.884</v>
      </c>
      <c r="M675" t="n">
        <v>0.116</v>
      </c>
    </row>
    <row r="676" spans="1:13">
      <c r="A676" s="1">
        <f>HYPERLINK("http://www.twitter.com/NathanBLawrence/status/996409702656294913", "996409702656294913")</f>
        <v/>
      </c>
      <c r="B676" s="2" t="n">
        <v>43235.63842592593</v>
      </c>
      <c r="C676" t="n">
        <v>0</v>
      </c>
      <c r="D676" t="n">
        <v>10</v>
      </c>
      <c r="E676" t="s">
        <v>687</v>
      </c>
      <c r="F676">
        <f>HYPERLINK("http://pbs.twimg.com/media/DdPc57lVwAI5mAQ.jpg", "http://pbs.twimg.com/media/DdPc57lVwAI5mAQ.jpg")</f>
        <v/>
      </c>
      <c r="G676" t="s"/>
      <c r="H676" t="s"/>
      <c r="I676" t="s"/>
      <c r="J676" t="n">
        <v>-0.296</v>
      </c>
      <c r="K676" t="n">
        <v>0.08699999999999999</v>
      </c>
      <c r="L676" t="n">
        <v>0.913</v>
      </c>
      <c r="M676" t="n">
        <v>0</v>
      </c>
    </row>
    <row r="677" spans="1:13">
      <c r="A677" s="1">
        <f>HYPERLINK("http://www.twitter.com/NathanBLawrence/status/996409409017282561", "996409409017282561")</f>
        <v/>
      </c>
      <c r="B677" s="2" t="n">
        <v>43235.63761574074</v>
      </c>
      <c r="C677" t="n">
        <v>0</v>
      </c>
      <c r="D677" t="n">
        <v>32</v>
      </c>
      <c r="E677" t="s">
        <v>688</v>
      </c>
      <c r="F677">
        <f>HYPERLINK("http://pbs.twimg.com/media/DdPbtMgV0AEH44-.jpg", "http://pbs.twimg.com/media/DdPbtMgV0AEH44-.jpg")</f>
        <v/>
      </c>
      <c r="G677" t="s"/>
      <c r="H677" t="s"/>
      <c r="I677" t="s"/>
      <c r="J677" t="n">
        <v>-0.7783</v>
      </c>
      <c r="K677" t="n">
        <v>0.315</v>
      </c>
      <c r="L677" t="n">
        <v>0.6850000000000001</v>
      </c>
      <c r="M677" t="n">
        <v>0</v>
      </c>
    </row>
    <row r="678" spans="1:13">
      <c r="A678" s="1">
        <f>HYPERLINK("http://www.twitter.com/NathanBLawrence/status/996408123211460608", "996408123211460608")</f>
        <v/>
      </c>
      <c r="B678" s="2" t="n">
        <v>43235.6340625</v>
      </c>
      <c r="C678" t="n">
        <v>0</v>
      </c>
      <c r="D678" t="n">
        <v>1588</v>
      </c>
      <c r="E678" t="s">
        <v>689</v>
      </c>
      <c r="F678" t="s"/>
      <c r="G678" t="s"/>
      <c r="H678" t="s"/>
      <c r="I678" t="s"/>
      <c r="J678" t="n">
        <v>0.4019</v>
      </c>
      <c r="K678" t="n">
        <v>0</v>
      </c>
      <c r="L678" t="n">
        <v>0.886</v>
      </c>
      <c r="M678" t="n">
        <v>0.114</v>
      </c>
    </row>
    <row r="679" spans="1:13">
      <c r="A679" s="1">
        <f>HYPERLINK("http://www.twitter.com/NathanBLawrence/status/996407979158196226", "996407979158196226")</f>
        <v/>
      </c>
      <c r="B679" s="2" t="n">
        <v>43235.63366898148</v>
      </c>
      <c r="C679" t="n">
        <v>0</v>
      </c>
      <c r="D679" t="n">
        <v>256</v>
      </c>
      <c r="E679" t="s">
        <v>690</v>
      </c>
      <c r="F679">
        <f>HYPERLINK("http://pbs.twimg.com/media/DdPhbtdV0AAcR34.jpg", "http://pbs.twimg.com/media/DdPhbtdV0AAcR34.jpg")</f>
        <v/>
      </c>
      <c r="G679" t="s"/>
      <c r="H679" t="s"/>
      <c r="I679" t="s"/>
      <c r="J679" t="n">
        <v>0.4926</v>
      </c>
      <c r="K679" t="n">
        <v>0</v>
      </c>
      <c r="L679" t="n">
        <v>0.556</v>
      </c>
      <c r="M679" t="n">
        <v>0.444</v>
      </c>
    </row>
    <row r="680" spans="1:13">
      <c r="A680" s="1">
        <f>HYPERLINK("http://www.twitter.com/NathanBLawrence/status/996407955946795008", "996407955946795008")</f>
        <v/>
      </c>
      <c r="B680" s="2" t="n">
        <v>43235.63359953704</v>
      </c>
      <c r="C680" t="n">
        <v>0</v>
      </c>
      <c r="D680" t="n">
        <v>3538</v>
      </c>
      <c r="E680" t="s">
        <v>691</v>
      </c>
      <c r="F680" t="s"/>
      <c r="G680" t="s"/>
      <c r="H680" t="s"/>
      <c r="I680" t="s"/>
      <c r="J680" t="n">
        <v>0</v>
      </c>
      <c r="K680" t="n">
        <v>0</v>
      </c>
      <c r="L680" t="n">
        <v>1</v>
      </c>
      <c r="M680" t="n">
        <v>0</v>
      </c>
    </row>
    <row r="681" spans="1:13">
      <c r="A681" s="1">
        <f>HYPERLINK("http://www.twitter.com/NathanBLawrence/status/996407681991655427", "996407681991655427")</f>
        <v/>
      </c>
      <c r="B681" s="2" t="n">
        <v>43235.63284722222</v>
      </c>
      <c r="C681" t="n">
        <v>0</v>
      </c>
      <c r="D681" t="n">
        <v>20</v>
      </c>
      <c r="E681" t="s">
        <v>692</v>
      </c>
      <c r="F681">
        <f>HYPERLINK("http://pbs.twimg.com/media/DdPVGVJW0AUY99u.jpg", "http://pbs.twimg.com/media/DdPVGVJW0AUY99u.jpg")</f>
        <v/>
      </c>
      <c r="G681" t="s"/>
      <c r="H681" t="s"/>
      <c r="I681" t="s"/>
      <c r="J681" t="n">
        <v>-0.2732</v>
      </c>
      <c r="K681" t="n">
        <v>0.26</v>
      </c>
      <c r="L681" t="n">
        <v>0.554</v>
      </c>
      <c r="M681" t="n">
        <v>0.187</v>
      </c>
    </row>
    <row r="682" spans="1:13">
      <c r="A682" s="1">
        <f>HYPERLINK("http://www.twitter.com/NathanBLawrence/status/996406690042920960", "996406690042920960")</f>
        <v/>
      </c>
      <c r="B682" s="2" t="n">
        <v>43235.63010416667</v>
      </c>
      <c r="C682" t="n">
        <v>17</v>
      </c>
      <c r="D682" t="n">
        <v>0</v>
      </c>
      <c r="E682" t="s">
        <v>693</v>
      </c>
      <c r="F682" t="s"/>
      <c r="G682" t="s"/>
      <c r="H682" t="s"/>
      <c r="I682" t="s"/>
      <c r="J682" t="n">
        <v>-0.9761</v>
      </c>
      <c r="K682" t="n">
        <v>0.384</v>
      </c>
      <c r="L682" t="n">
        <v>0.579</v>
      </c>
      <c r="M682" t="n">
        <v>0.037</v>
      </c>
    </row>
    <row r="683" spans="1:13">
      <c r="A683" s="1">
        <f>HYPERLINK("http://www.twitter.com/NathanBLawrence/status/996403403390468096", "996403403390468096")</f>
        <v/>
      </c>
      <c r="B683" s="2" t="n">
        <v>43235.62104166667</v>
      </c>
      <c r="C683" t="n">
        <v>0</v>
      </c>
      <c r="D683" t="n">
        <v>304</v>
      </c>
      <c r="E683" t="s">
        <v>694</v>
      </c>
      <c r="F683">
        <f>HYPERLINK("http://pbs.twimg.com/media/DdMnUhVVwAA47Q_.jpg", "http://pbs.twimg.com/media/DdMnUhVVwAA47Q_.jpg")</f>
        <v/>
      </c>
      <c r="G683" t="s"/>
      <c r="H683" t="s"/>
      <c r="I683" t="s"/>
      <c r="J683" t="n">
        <v>0</v>
      </c>
      <c r="K683" t="n">
        <v>0</v>
      </c>
      <c r="L683" t="n">
        <v>1</v>
      </c>
      <c r="M683" t="n">
        <v>0</v>
      </c>
    </row>
    <row r="684" spans="1:13">
      <c r="A684" s="1">
        <f>HYPERLINK("http://www.twitter.com/NathanBLawrence/status/996402156298121216", "996402156298121216")</f>
        <v/>
      </c>
      <c r="B684" s="2" t="n">
        <v>43235.61759259259</v>
      </c>
      <c r="C684" t="n">
        <v>0</v>
      </c>
      <c r="D684" t="n">
        <v>3150</v>
      </c>
      <c r="E684" t="s">
        <v>695</v>
      </c>
      <c r="F684" t="s"/>
      <c r="G684" t="s"/>
      <c r="H684" t="s"/>
      <c r="I684" t="s"/>
      <c r="J684" t="n">
        <v>0.4939</v>
      </c>
      <c r="K684" t="n">
        <v>0</v>
      </c>
      <c r="L684" t="n">
        <v>0.862</v>
      </c>
      <c r="M684" t="n">
        <v>0.138</v>
      </c>
    </row>
    <row r="685" spans="1:13">
      <c r="A685" s="1">
        <f>HYPERLINK("http://www.twitter.com/NathanBLawrence/status/996401810767101952", "996401810767101952")</f>
        <v/>
      </c>
      <c r="B685" s="2" t="n">
        <v>43235.61664351852</v>
      </c>
      <c r="C685" t="n">
        <v>0</v>
      </c>
      <c r="D685" t="n">
        <v>2720</v>
      </c>
      <c r="E685" t="s">
        <v>696</v>
      </c>
      <c r="F685">
        <f>HYPERLINK("http://pbs.twimg.com/media/DdPcXyzWAAMeVm6.jpg", "http://pbs.twimg.com/media/DdPcXyzWAAMeVm6.jpg")</f>
        <v/>
      </c>
      <c r="G685" t="s"/>
      <c r="H685" t="s"/>
      <c r="I685" t="s"/>
      <c r="J685" t="n">
        <v>0.4149</v>
      </c>
      <c r="K685" t="n">
        <v>0.119</v>
      </c>
      <c r="L685" t="n">
        <v>0.706</v>
      </c>
      <c r="M685" t="n">
        <v>0.175</v>
      </c>
    </row>
    <row r="686" spans="1:13">
      <c r="A686" s="1">
        <f>HYPERLINK("http://www.twitter.com/NathanBLawrence/status/996401688712962048", "996401688712962048")</f>
        <v/>
      </c>
      <c r="B686" s="2" t="n">
        <v>43235.61630787037</v>
      </c>
      <c r="C686" t="n">
        <v>0</v>
      </c>
      <c r="D686" t="n">
        <v>13403</v>
      </c>
      <c r="E686" t="s">
        <v>697</v>
      </c>
      <c r="F686" t="s"/>
      <c r="G686" t="s"/>
      <c r="H686" t="s"/>
      <c r="I686" t="s"/>
      <c r="J686" t="n">
        <v>0.2732</v>
      </c>
      <c r="K686" t="n">
        <v>0.127</v>
      </c>
      <c r="L686" t="n">
        <v>0.671</v>
      </c>
      <c r="M686" t="n">
        <v>0.201</v>
      </c>
    </row>
    <row r="687" spans="1:13">
      <c r="A687" s="1">
        <f>HYPERLINK("http://www.twitter.com/NathanBLawrence/status/996401573759565824", "996401573759565824")</f>
        <v/>
      </c>
      <c r="B687" s="2" t="n">
        <v>43235.61599537037</v>
      </c>
      <c r="C687" t="n">
        <v>0</v>
      </c>
      <c r="D687" t="n">
        <v>0</v>
      </c>
      <c r="E687" t="s">
        <v>698</v>
      </c>
      <c r="F687" t="s"/>
      <c r="G687" t="s"/>
      <c r="H687" t="s"/>
      <c r="I687" t="s"/>
      <c r="J687" t="n">
        <v>-0.7783</v>
      </c>
      <c r="K687" t="n">
        <v>0.405</v>
      </c>
      <c r="L687" t="n">
        <v>0.595</v>
      </c>
      <c r="M687" t="n">
        <v>0</v>
      </c>
    </row>
    <row r="688" spans="1:13">
      <c r="A688" s="1">
        <f>HYPERLINK("http://www.twitter.com/NathanBLawrence/status/996400192327839750", "996400192327839750")</f>
        <v/>
      </c>
      <c r="B688" s="2" t="n">
        <v>43235.61217592593</v>
      </c>
      <c r="C688" t="n">
        <v>0</v>
      </c>
      <c r="D688" t="n">
        <v>14900</v>
      </c>
      <c r="E688" t="s">
        <v>699</v>
      </c>
      <c r="F688" t="s"/>
      <c r="G688" t="s"/>
      <c r="H688" t="s"/>
      <c r="I688" t="s"/>
      <c r="J688" t="n">
        <v>0</v>
      </c>
      <c r="K688" t="n">
        <v>0</v>
      </c>
      <c r="L688" t="n">
        <v>1</v>
      </c>
      <c r="M688" t="n">
        <v>0</v>
      </c>
    </row>
    <row r="689" spans="1:13">
      <c r="A689" s="1">
        <f>HYPERLINK("http://www.twitter.com/NathanBLawrence/status/996400130386415617", "996400130386415617")</f>
        <v/>
      </c>
      <c r="B689" s="2" t="n">
        <v>43235.61200231482</v>
      </c>
      <c r="C689" t="n">
        <v>0</v>
      </c>
      <c r="D689" t="n">
        <v>81</v>
      </c>
      <c r="E689" t="s">
        <v>700</v>
      </c>
      <c r="F689" t="s"/>
      <c r="G689" t="s"/>
      <c r="H689" t="s"/>
      <c r="I689" t="s"/>
      <c r="J689" t="n">
        <v>-0.6705</v>
      </c>
      <c r="K689" t="n">
        <v>0.208</v>
      </c>
      <c r="L689" t="n">
        <v>0.792</v>
      </c>
      <c r="M689" t="n">
        <v>0</v>
      </c>
    </row>
    <row r="690" spans="1:13">
      <c r="A690" s="1">
        <f>HYPERLINK("http://www.twitter.com/NathanBLawrence/status/996282181893816320", "996282181893816320")</f>
        <v/>
      </c>
      <c r="B690" s="2" t="n">
        <v>43235.28652777777</v>
      </c>
      <c r="C690" t="n">
        <v>0</v>
      </c>
      <c r="D690" t="n">
        <v>2</v>
      </c>
      <c r="E690" t="s">
        <v>701</v>
      </c>
      <c r="F690" t="s"/>
      <c r="G690" t="s"/>
      <c r="H690" t="s"/>
      <c r="I690" t="s"/>
      <c r="J690" t="n">
        <v>-0.0258</v>
      </c>
      <c r="K690" t="n">
        <v>0.136</v>
      </c>
      <c r="L690" t="n">
        <v>0.734</v>
      </c>
      <c r="M690" t="n">
        <v>0.13</v>
      </c>
    </row>
    <row r="691" spans="1:13">
      <c r="A691" s="1">
        <f>HYPERLINK("http://www.twitter.com/NathanBLawrence/status/996281930449539074", "996281930449539074")</f>
        <v/>
      </c>
      <c r="B691" s="2" t="n">
        <v>43235.28583333334</v>
      </c>
      <c r="C691" t="n">
        <v>0</v>
      </c>
      <c r="D691" t="n">
        <v>5</v>
      </c>
      <c r="E691" t="s">
        <v>702</v>
      </c>
      <c r="F691" t="s"/>
      <c r="G691" t="s"/>
      <c r="H691" t="s"/>
      <c r="I691" t="s"/>
      <c r="J691" t="n">
        <v>0</v>
      </c>
      <c r="K691" t="n">
        <v>0</v>
      </c>
      <c r="L691" t="n">
        <v>1</v>
      </c>
      <c r="M691" t="n">
        <v>0</v>
      </c>
    </row>
    <row r="692" spans="1:13">
      <c r="A692" s="1">
        <f>HYPERLINK("http://www.twitter.com/NathanBLawrence/status/996281220668440576", "996281220668440576")</f>
        <v/>
      </c>
      <c r="B692" s="2" t="n">
        <v>43235.28387731482</v>
      </c>
      <c r="C692" t="n">
        <v>0</v>
      </c>
      <c r="D692" t="n">
        <v>2</v>
      </c>
      <c r="E692" t="s">
        <v>703</v>
      </c>
      <c r="F692" t="s"/>
      <c r="G692" t="s"/>
      <c r="H692" t="s"/>
      <c r="I692" t="s"/>
      <c r="J692" t="n">
        <v>0.6124000000000001</v>
      </c>
      <c r="K692" t="n">
        <v>0</v>
      </c>
      <c r="L692" t="n">
        <v>0.429</v>
      </c>
      <c r="M692" t="n">
        <v>0.571</v>
      </c>
    </row>
    <row r="693" spans="1:13">
      <c r="A693" s="1">
        <f>HYPERLINK("http://www.twitter.com/NathanBLawrence/status/996281190435897345", "996281190435897345")</f>
        <v/>
      </c>
      <c r="B693" s="2" t="n">
        <v>43235.28379629629</v>
      </c>
      <c r="C693" t="n">
        <v>0</v>
      </c>
      <c r="D693" t="n">
        <v>1</v>
      </c>
      <c r="E693" t="s">
        <v>704</v>
      </c>
      <c r="F693" t="s"/>
      <c r="G693" t="s"/>
      <c r="H693" t="s"/>
      <c r="I693" t="s"/>
      <c r="J693" t="n">
        <v>-0.8001</v>
      </c>
      <c r="K693" t="n">
        <v>0.264</v>
      </c>
      <c r="L693" t="n">
        <v>0.736</v>
      </c>
      <c r="M693" t="n">
        <v>0</v>
      </c>
    </row>
    <row r="694" spans="1:13">
      <c r="A694" s="1">
        <f>HYPERLINK("http://www.twitter.com/NathanBLawrence/status/996281106809798656", "996281106809798656")</f>
        <v/>
      </c>
      <c r="B694" s="2" t="n">
        <v>43235.28356481482</v>
      </c>
      <c r="C694" t="n">
        <v>0</v>
      </c>
      <c r="D694" t="n">
        <v>32</v>
      </c>
      <c r="E694" t="s">
        <v>705</v>
      </c>
      <c r="F694" t="s"/>
      <c r="G694" t="s"/>
      <c r="H694" t="s"/>
      <c r="I694" t="s"/>
      <c r="J694" t="n">
        <v>0</v>
      </c>
      <c r="K694" t="n">
        <v>0</v>
      </c>
      <c r="L694" t="n">
        <v>1</v>
      </c>
      <c r="M694" t="n">
        <v>0</v>
      </c>
    </row>
    <row r="695" spans="1:13">
      <c r="A695" s="1">
        <f>HYPERLINK("http://www.twitter.com/NathanBLawrence/status/996281075805536256", "996281075805536256")</f>
        <v/>
      </c>
      <c r="B695" s="2" t="n">
        <v>43235.28348379629</v>
      </c>
      <c r="C695" t="n">
        <v>0</v>
      </c>
      <c r="D695" t="n">
        <v>14</v>
      </c>
      <c r="E695" t="s">
        <v>706</v>
      </c>
      <c r="F695" t="s"/>
      <c r="G695" t="s"/>
      <c r="H695" t="s"/>
      <c r="I695" t="s"/>
      <c r="J695" t="n">
        <v>0.1531</v>
      </c>
      <c r="K695" t="n">
        <v>0.137</v>
      </c>
      <c r="L695" t="n">
        <v>0.703</v>
      </c>
      <c r="M695" t="n">
        <v>0.16</v>
      </c>
    </row>
    <row r="696" spans="1:13">
      <c r="A696" s="1">
        <f>HYPERLINK("http://www.twitter.com/NathanBLawrence/status/996280998353489920", "996280998353489920")</f>
        <v/>
      </c>
      <c r="B696" s="2" t="n">
        <v>43235.28326388889</v>
      </c>
      <c r="C696" t="n">
        <v>0</v>
      </c>
      <c r="D696" t="n">
        <v>0</v>
      </c>
      <c r="E696" t="s">
        <v>707</v>
      </c>
      <c r="F696" t="s"/>
      <c r="G696" t="s"/>
      <c r="H696" t="s"/>
      <c r="I696" t="s"/>
      <c r="J696" t="n">
        <v>-0.128</v>
      </c>
      <c r="K696" t="n">
        <v>0.199</v>
      </c>
      <c r="L696" t="n">
        <v>0.681</v>
      </c>
      <c r="M696" t="n">
        <v>0.12</v>
      </c>
    </row>
    <row r="697" spans="1:13">
      <c r="A697" s="1">
        <f>HYPERLINK("http://www.twitter.com/NathanBLawrence/status/996280534236983296", "996280534236983296")</f>
        <v/>
      </c>
      <c r="B697" s="2" t="n">
        <v>43235.28199074074</v>
      </c>
      <c r="C697" t="n">
        <v>0</v>
      </c>
      <c r="D697" t="n">
        <v>84</v>
      </c>
      <c r="E697" t="s">
        <v>708</v>
      </c>
      <c r="F697" t="s"/>
      <c r="G697" t="s"/>
      <c r="H697" t="s"/>
      <c r="I697" t="s"/>
      <c r="J697" t="n">
        <v>0.6249</v>
      </c>
      <c r="K697" t="n">
        <v>0</v>
      </c>
      <c r="L697" t="n">
        <v>0.854</v>
      </c>
      <c r="M697" t="n">
        <v>0.146</v>
      </c>
    </row>
    <row r="698" spans="1:13">
      <c r="A698" s="1">
        <f>HYPERLINK("http://www.twitter.com/NathanBLawrence/status/996280217114107905", "996280217114107905")</f>
        <v/>
      </c>
      <c r="B698" s="2" t="n">
        <v>43235.28111111111</v>
      </c>
      <c r="C698" t="n">
        <v>0</v>
      </c>
      <c r="D698" t="n">
        <v>8</v>
      </c>
      <c r="E698" t="s">
        <v>709</v>
      </c>
      <c r="F698" t="s"/>
      <c r="G698" t="s"/>
      <c r="H698" t="s"/>
      <c r="I698" t="s"/>
      <c r="J698" t="n">
        <v>0</v>
      </c>
      <c r="K698" t="n">
        <v>0</v>
      </c>
      <c r="L698" t="n">
        <v>1</v>
      </c>
      <c r="M698" t="n">
        <v>0</v>
      </c>
    </row>
    <row r="699" spans="1:13">
      <c r="A699" s="1">
        <f>HYPERLINK("http://www.twitter.com/NathanBLawrence/status/996280067331272704", "996280067331272704")</f>
        <v/>
      </c>
      <c r="B699" s="2" t="n">
        <v>43235.28069444445</v>
      </c>
      <c r="C699" t="n">
        <v>0</v>
      </c>
      <c r="D699" t="n">
        <v>10</v>
      </c>
      <c r="E699" t="s">
        <v>710</v>
      </c>
      <c r="F699" t="s"/>
      <c r="G699" t="s"/>
      <c r="H699" t="s"/>
      <c r="I699" t="s"/>
      <c r="J699" t="n">
        <v>0</v>
      </c>
      <c r="K699" t="n">
        <v>0</v>
      </c>
      <c r="L699" t="n">
        <v>1</v>
      </c>
      <c r="M699" t="n">
        <v>0</v>
      </c>
    </row>
    <row r="700" spans="1:13">
      <c r="A700" s="1">
        <f>HYPERLINK("http://www.twitter.com/NathanBLawrence/status/996279526370889729", "996279526370889729")</f>
        <v/>
      </c>
      <c r="B700" s="2" t="n">
        <v>43235.27920138889</v>
      </c>
      <c r="C700" t="n">
        <v>0</v>
      </c>
      <c r="D700" t="n">
        <v>15</v>
      </c>
      <c r="E700" t="s">
        <v>711</v>
      </c>
      <c r="F700" t="s"/>
      <c r="G700" t="s"/>
      <c r="H700" t="s"/>
      <c r="I700" t="s"/>
      <c r="J700" t="n">
        <v>0.1779</v>
      </c>
      <c r="K700" t="n">
        <v>0.073</v>
      </c>
      <c r="L700" t="n">
        <v>0.822</v>
      </c>
      <c r="M700" t="n">
        <v>0.105</v>
      </c>
    </row>
    <row r="701" spans="1:13">
      <c r="A701" s="1">
        <f>HYPERLINK("http://www.twitter.com/NathanBLawrence/status/996279414437527552", "996279414437527552")</f>
        <v/>
      </c>
      <c r="B701" s="2" t="n">
        <v>43235.27890046296</v>
      </c>
      <c r="C701" t="n">
        <v>0</v>
      </c>
      <c r="D701" t="n">
        <v>0</v>
      </c>
      <c r="E701" t="s">
        <v>712</v>
      </c>
      <c r="F701" t="s"/>
      <c r="G701" t="s"/>
      <c r="H701" t="s"/>
      <c r="I701" t="s"/>
      <c r="J701" t="n">
        <v>0</v>
      </c>
      <c r="K701" t="n">
        <v>0</v>
      </c>
      <c r="L701" t="n">
        <v>1</v>
      </c>
      <c r="M701" t="n">
        <v>0</v>
      </c>
    </row>
    <row r="702" spans="1:13">
      <c r="A702" s="1">
        <f>HYPERLINK("http://www.twitter.com/NathanBLawrence/status/996278952929841153", "996278952929841153")</f>
        <v/>
      </c>
      <c r="B702" s="2" t="n">
        <v>43235.27762731481</v>
      </c>
      <c r="C702" t="n">
        <v>0</v>
      </c>
      <c r="D702" t="n">
        <v>2</v>
      </c>
      <c r="E702" t="s">
        <v>713</v>
      </c>
      <c r="F702" t="s"/>
      <c r="G702" t="s"/>
      <c r="H702" t="s"/>
      <c r="I702" t="s"/>
      <c r="J702" t="n">
        <v>0</v>
      </c>
      <c r="K702" t="n">
        <v>0</v>
      </c>
      <c r="L702" t="n">
        <v>1</v>
      </c>
      <c r="M702" t="n">
        <v>0</v>
      </c>
    </row>
    <row r="703" spans="1:13">
      <c r="A703" s="1">
        <f>HYPERLINK("http://www.twitter.com/NathanBLawrence/status/996278910907179009", "996278910907179009")</f>
        <v/>
      </c>
      <c r="B703" s="2" t="n">
        <v>43235.2775</v>
      </c>
      <c r="C703" t="n">
        <v>0</v>
      </c>
      <c r="D703" t="n">
        <v>3</v>
      </c>
      <c r="E703" t="s">
        <v>714</v>
      </c>
      <c r="F703" t="s"/>
      <c r="G703" t="s"/>
      <c r="H703" t="s"/>
      <c r="I703" t="s"/>
      <c r="J703" t="n">
        <v>0</v>
      </c>
      <c r="K703" t="n">
        <v>0</v>
      </c>
      <c r="L703" t="n">
        <v>1</v>
      </c>
      <c r="M703" t="n">
        <v>0</v>
      </c>
    </row>
    <row r="704" spans="1:13">
      <c r="A704" s="1">
        <f>HYPERLINK("http://www.twitter.com/NathanBLawrence/status/996278627246354433", "996278627246354433")</f>
        <v/>
      </c>
      <c r="B704" s="2" t="n">
        <v>43235.27672453703</v>
      </c>
      <c r="C704" t="n">
        <v>4</v>
      </c>
      <c r="D704" t="n">
        <v>1</v>
      </c>
      <c r="E704" t="s">
        <v>715</v>
      </c>
      <c r="F704" t="s"/>
      <c r="G704" t="s"/>
      <c r="H704" t="s"/>
      <c r="I704" t="s"/>
      <c r="J704" t="n">
        <v>0</v>
      </c>
      <c r="K704" t="n">
        <v>0</v>
      </c>
      <c r="L704" t="n">
        <v>1</v>
      </c>
      <c r="M704" t="n">
        <v>0</v>
      </c>
    </row>
    <row r="705" spans="1:13">
      <c r="A705" s="1">
        <f>HYPERLINK("http://www.twitter.com/NathanBLawrence/status/996278363059666944", "996278363059666944")</f>
        <v/>
      </c>
      <c r="B705" s="2" t="n">
        <v>43235.27599537037</v>
      </c>
      <c r="C705" t="n">
        <v>0</v>
      </c>
      <c r="D705" t="n">
        <v>11</v>
      </c>
      <c r="E705" t="s">
        <v>716</v>
      </c>
      <c r="F705" t="s"/>
      <c r="G705" t="s"/>
      <c r="H705" t="s"/>
      <c r="I705" t="s"/>
      <c r="J705" t="n">
        <v>0.636</v>
      </c>
      <c r="K705" t="n">
        <v>0.099</v>
      </c>
      <c r="L705" t="n">
        <v>0.635</v>
      </c>
      <c r="M705" t="n">
        <v>0.266</v>
      </c>
    </row>
    <row r="706" spans="1:13">
      <c r="A706" s="1">
        <f>HYPERLINK("http://www.twitter.com/NathanBLawrence/status/996278283451879424", "996278283451879424")</f>
        <v/>
      </c>
      <c r="B706" s="2" t="n">
        <v>43235.27577546296</v>
      </c>
      <c r="C706" t="n">
        <v>0</v>
      </c>
      <c r="D706" t="n">
        <v>10</v>
      </c>
      <c r="E706" t="s">
        <v>717</v>
      </c>
      <c r="F706" t="s"/>
      <c r="G706" t="s"/>
      <c r="H706" t="s"/>
      <c r="I706" t="s"/>
      <c r="J706" t="n">
        <v>-0.5423</v>
      </c>
      <c r="K706" t="n">
        <v>0.163</v>
      </c>
      <c r="L706" t="n">
        <v>0.837</v>
      </c>
      <c r="M706" t="n">
        <v>0</v>
      </c>
    </row>
    <row r="707" spans="1:13">
      <c r="A707" s="1">
        <f>HYPERLINK("http://www.twitter.com/NathanBLawrence/status/996278233875206146", "996278233875206146")</f>
        <v/>
      </c>
      <c r="B707" s="2" t="n">
        <v>43235.27563657407</v>
      </c>
      <c r="C707" t="n">
        <v>0</v>
      </c>
      <c r="D707" t="n">
        <v>5</v>
      </c>
      <c r="E707" t="s">
        <v>718</v>
      </c>
      <c r="F707" t="s"/>
      <c r="G707" t="s"/>
      <c r="H707" t="s"/>
      <c r="I707" t="s"/>
      <c r="J707" t="n">
        <v>0</v>
      </c>
      <c r="K707" t="n">
        <v>0</v>
      </c>
      <c r="L707" t="n">
        <v>1</v>
      </c>
      <c r="M707" t="n">
        <v>0</v>
      </c>
    </row>
    <row r="708" spans="1:13">
      <c r="A708" s="1">
        <f>HYPERLINK("http://www.twitter.com/NathanBLawrence/status/996277883592105984", "996277883592105984")</f>
        <v/>
      </c>
      <c r="B708" s="2" t="n">
        <v>43235.27467592592</v>
      </c>
      <c r="C708" t="n">
        <v>0</v>
      </c>
      <c r="D708" t="n">
        <v>8</v>
      </c>
      <c r="E708" t="s">
        <v>719</v>
      </c>
      <c r="F708">
        <f>HYPERLINK("http://pbs.twimg.com/media/DdNB_5QU0AARAsq.jpg", "http://pbs.twimg.com/media/DdNB_5QU0AARAsq.jpg")</f>
        <v/>
      </c>
      <c r="G708" t="s"/>
      <c r="H708" t="s"/>
      <c r="I708" t="s"/>
      <c r="J708" t="n">
        <v>0.4404</v>
      </c>
      <c r="K708" t="n">
        <v>0</v>
      </c>
      <c r="L708" t="n">
        <v>0.873</v>
      </c>
      <c r="M708" t="n">
        <v>0.127</v>
      </c>
    </row>
    <row r="709" spans="1:13">
      <c r="A709" s="1">
        <f>HYPERLINK("http://www.twitter.com/NathanBLawrence/status/996277663403671553", "996277663403671553")</f>
        <v/>
      </c>
      <c r="B709" s="2" t="n">
        <v>43235.2740625</v>
      </c>
      <c r="C709" t="n">
        <v>0</v>
      </c>
      <c r="D709" t="n">
        <v>4</v>
      </c>
      <c r="E709" t="s">
        <v>720</v>
      </c>
      <c r="F709" t="s"/>
      <c r="G709" t="s"/>
      <c r="H709" t="s"/>
      <c r="I709" t="s"/>
      <c r="J709" t="n">
        <v>0</v>
      </c>
      <c r="K709" t="n">
        <v>0</v>
      </c>
      <c r="L709" t="n">
        <v>1</v>
      </c>
      <c r="M709" t="n">
        <v>0</v>
      </c>
    </row>
    <row r="710" spans="1:13">
      <c r="A710" s="1">
        <f>HYPERLINK("http://www.twitter.com/NathanBLawrence/status/996277632240005120", "996277632240005120")</f>
        <v/>
      </c>
      <c r="B710" s="2" t="n">
        <v>43235.27398148148</v>
      </c>
      <c r="C710" t="n">
        <v>0</v>
      </c>
      <c r="D710" t="n">
        <v>14</v>
      </c>
      <c r="E710" t="s">
        <v>721</v>
      </c>
      <c r="F710">
        <f>HYPERLINK("http://pbs.twimg.com/media/DdNQDXWVAAAGhVP.jpg", "http://pbs.twimg.com/media/DdNQDXWVAAAGhVP.jpg")</f>
        <v/>
      </c>
      <c r="G710" t="s"/>
      <c r="H710" t="s"/>
      <c r="I710" t="s"/>
      <c r="J710" t="n">
        <v>-0.7269</v>
      </c>
      <c r="K710" t="n">
        <v>0.276</v>
      </c>
      <c r="L710" t="n">
        <v>0.724</v>
      </c>
      <c r="M710" t="n">
        <v>0</v>
      </c>
    </row>
    <row r="711" spans="1:13">
      <c r="A711" s="1">
        <f>HYPERLINK("http://www.twitter.com/NathanBLawrence/status/996277543878574080", "996277543878574080")</f>
        <v/>
      </c>
      <c r="B711" s="2" t="n">
        <v>43235.27373842592</v>
      </c>
      <c r="C711" t="n">
        <v>0</v>
      </c>
      <c r="D711" t="n">
        <v>9</v>
      </c>
      <c r="E711" t="s">
        <v>722</v>
      </c>
      <c r="F711" t="s"/>
      <c r="G711" t="s"/>
      <c r="H711" t="s"/>
      <c r="I711" t="s"/>
      <c r="J711" t="n">
        <v>-0.9062</v>
      </c>
      <c r="K711" t="n">
        <v>0.359</v>
      </c>
      <c r="L711" t="n">
        <v>0.641</v>
      </c>
      <c r="M711" t="n">
        <v>0</v>
      </c>
    </row>
    <row r="712" spans="1:13">
      <c r="A712" s="1">
        <f>HYPERLINK("http://www.twitter.com/NathanBLawrence/status/996275764730331136", "996275764730331136")</f>
        <v/>
      </c>
      <c r="B712" s="2" t="n">
        <v>43235.26881944444</v>
      </c>
      <c r="C712" t="n">
        <v>0</v>
      </c>
      <c r="D712" t="n">
        <v>7</v>
      </c>
      <c r="E712" t="s">
        <v>723</v>
      </c>
      <c r="F712" t="s"/>
      <c r="G712" t="s"/>
      <c r="H712" t="s"/>
      <c r="I712" t="s"/>
      <c r="J712" t="n">
        <v>0.3612</v>
      </c>
      <c r="K712" t="n">
        <v>0</v>
      </c>
      <c r="L712" t="n">
        <v>0.898</v>
      </c>
      <c r="M712" t="n">
        <v>0.102</v>
      </c>
    </row>
    <row r="713" spans="1:13">
      <c r="A713" s="1">
        <f>HYPERLINK("http://www.twitter.com/NathanBLawrence/status/996275308318765056", "996275308318765056")</f>
        <v/>
      </c>
      <c r="B713" s="2" t="n">
        <v>43235.26756944445</v>
      </c>
      <c r="C713" t="n">
        <v>3</v>
      </c>
      <c r="D713" t="n">
        <v>1</v>
      </c>
      <c r="E713" t="s">
        <v>724</v>
      </c>
      <c r="F713" t="s"/>
      <c r="G713" t="s"/>
      <c r="H713" t="s"/>
      <c r="I713" t="s"/>
      <c r="J713" t="n">
        <v>-0.4696</v>
      </c>
      <c r="K713" t="n">
        <v>0.109</v>
      </c>
      <c r="L713" t="n">
        <v>0.891</v>
      </c>
      <c r="M713" t="n">
        <v>0</v>
      </c>
    </row>
    <row r="714" spans="1:13">
      <c r="A714" s="1">
        <f>HYPERLINK("http://www.twitter.com/NathanBLawrence/status/996271588864507904", "996271588864507904")</f>
        <v/>
      </c>
      <c r="B714" s="2" t="n">
        <v>43235.25730324074</v>
      </c>
      <c r="C714" t="n">
        <v>0</v>
      </c>
      <c r="D714" t="n">
        <v>0</v>
      </c>
      <c r="E714" t="s">
        <v>725</v>
      </c>
      <c r="F714" t="s"/>
      <c r="G714" t="s"/>
      <c r="H714" t="s"/>
      <c r="I714" t="s"/>
      <c r="J714" t="n">
        <v>0</v>
      </c>
      <c r="K714" t="n">
        <v>0</v>
      </c>
      <c r="L714" t="n">
        <v>1</v>
      </c>
      <c r="M714" t="n">
        <v>0</v>
      </c>
    </row>
    <row r="715" spans="1:13">
      <c r="A715" s="1">
        <f>HYPERLINK("http://www.twitter.com/NathanBLawrence/status/996271421780246528", "996271421780246528")</f>
        <v/>
      </c>
      <c r="B715" s="2" t="n">
        <v>43235.25684027778</v>
      </c>
      <c r="C715" t="n">
        <v>0</v>
      </c>
      <c r="D715" t="n">
        <v>2</v>
      </c>
      <c r="E715" t="s">
        <v>726</v>
      </c>
      <c r="F715" t="s"/>
      <c r="G715" t="s"/>
      <c r="H715" t="s"/>
      <c r="I715" t="s"/>
      <c r="J715" t="n">
        <v>0.5994</v>
      </c>
      <c r="K715" t="n">
        <v>0.09</v>
      </c>
      <c r="L715" t="n">
        <v>0.681</v>
      </c>
      <c r="M715" t="n">
        <v>0.229</v>
      </c>
    </row>
    <row r="716" spans="1:13">
      <c r="A716" s="1">
        <f>HYPERLINK("http://www.twitter.com/NathanBLawrence/status/996271157547429888", "996271157547429888")</f>
        <v/>
      </c>
      <c r="B716" s="2" t="n">
        <v>43235.25611111111</v>
      </c>
      <c r="C716" t="n">
        <v>0</v>
      </c>
      <c r="D716" t="n">
        <v>3</v>
      </c>
      <c r="E716" t="s">
        <v>727</v>
      </c>
      <c r="F716" t="s"/>
      <c r="G716" t="s"/>
      <c r="H716" t="s"/>
      <c r="I716" t="s"/>
      <c r="J716" t="n">
        <v>0</v>
      </c>
      <c r="K716" t="n">
        <v>0</v>
      </c>
      <c r="L716" t="n">
        <v>1</v>
      </c>
      <c r="M716" t="n">
        <v>0</v>
      </c>
    </row>
    <row r="717" spans="1:13">
      <c r="A717" s="1">
        <f>HYPERLINK("http://www.twitter.com/NathanBLawrence/status/996271098143457282", "996271098143457282")</f>
        <v/>
      </c>
      <c r="B717" s="2" t="n">
        <v>43235.25594907408</v>
      </c>
      <c r="C717" t="n">
        <v>0</v>
      </c>
      <c r="D717" t="n">
        <v>3</v>
      </c>
      <c r="E717" t="s">
        <v>728</v>
      </c>
      <c r="F717" t="s"/>
      <c r="G717" t="s"/>
      <c r="H717" t="s"/>
      <c r="I717" t="s"/>
      <c r="J717" t="n">
        <v>0.4019</v>
      </c>
      <c r="K717" t="n">
        <v>0</v>
      </c>
      <c r="L717" t="n">
        <v>0.881</v>
      </c>
      <c r="M717" t="n">
        <v>0.119</v>
      </c>
    </row>
    <row r="718" spans="1:13">
      <c r="A718" s="1">
        <f>HYPERLINK("http://www.twitter.com/NathanBLawrence/status/996271000965734401", "996271000965734401")</f>
        <v/>
      </c>
      <c r="B718" s="2" t="n">
        <v>43235.25568287037</v>
      </c>
      <c r="C718" t="n">
        <v>0</v>
      </c>
      <c r="D718" t="n">
        <v>32</v>
      </c>
      <c r="E718" t="s">
        <v>729</v>
      </c>
      <c r="F718" t="s"/>
      <c r="G718" t="s"/>
      <c r="H718" t="s"/>
      <c r="I718" t="s"/>
      <c r="J718" t="n">
        <v>-0.296</v>
      </c>
      <c r="K718" t="n">
        <v>0.121</v>
      </c>
      <c r="L718" t="n">
        <v>0.879</v>
      </c>
      <c r="M718" t="n">
        <v>0</v>
      </c>
    </row>
    <row r="719" spans="1:13">
      <c r="A719" s="1">
        <f>HYPERLINK("http://www.twitter.com/NathanBLawrence/status/996270760476819456", "996270760476819456")</f>
        <v/>
      </c>
      <c r="B719" s="2" t="n">
        <v>43235.25501157407</v>
      </c>
      <c r="C719" t="n">
        <v>4</v>
      </c>
      <c r="D719" t="n">
        <v>1</v>
      </c>
      <c r="E719" t="s">
        <v>730</v>
      </c>
      <c r="F719" t="s"/>
      <c r="G719" t="s"/>
      <c r="H719" t="s"/>
      <c r="I719" t="s"/>
      <c r="J719" t="n">
        <v>-0.3612</v>
      </c>
      <c r="K719" t="n">
        <v>0.091</v>
      </c>
      <c r="L719" t="n">
        <v>0.909</v>
      </c>
      <c r="M719" t="n">
        <v>0</v>
      </c>
    </row>
    <row r="720" spans="1:13">
      <c r="A720" s="1">
        <f>HYPERLINK("http://www.twitter.com/NathanBLawrence/status/996268817918525440", "996268817918525440")</f>
        <v/>
      </c>
      <c r="B720" s="2" t="n">
        <v>43235.24965277778</v>
      </c>
      <c r="C720" t="n">
        <v>0</v>
      </c>
      <c r="D720" t="n">
        <v>1</v>
      </c>
      <c r="E720" t="s">
        <v>731</v>
      </c>
      <c r="F720" t="s"/>
      <c r="G720" t="s"/>
      <c r="H720" t="s"/>
      <c r="I720" t="s"/>
      <c r="J720" t="n">
        <v>-0.6369</v>
      </c>
      <c r="K720" t="n">
        <v>0.127</v>
      </c>
      <c r="L720" t="n">
        <v>0.873</v>
      </c>
      <c r="M720" t="n">
        <v>0</v>
      </c>
    </row>
    <row r="721" spans="1:13">
      <c r="A721" s="1">
        <f>HYPERLINK("http://www.twitter.com/NathanBLawrence/status/996267542774661120", "996267542774661120")</f>
        <v/>
      </c>
      <c r="B721" s="2" t="n">
        <v>43235.24613425926</v>
      </c>
      <c r="C721" t="n">
        <v>0</v>
      </c>
      <c r="D721" t="n">
        <v>1</v>
      </c>
      <c r="E721" t="s">
        <v>732</v>
      </c>
      <c r="F721" t="s"/>
      <c r="G721" t="s"/>
      <c r="H721" t="s"/>
      <c r="I721" t="s"/>
      <c r="J721" t="n">
        <v>0.6249</v>
      </c>
      <c r="K721" t="n">
        <v>0</v>
      </c>
      <c r="L721" t="n">
        <v>0.823</v>
      </c>
      <c r="M721" t="n">
        <v>0.177</v>
      </c>
    </row>
    <row r="722" spans="1:13">
      <c r="A722" s="1">
        <f>HYPERLINK("http://www.twitter.com/NathanBLawrence/status/996267529629679616", "996267529629679616")</f>
        <v/>
      </c>
      <c r="B722" s="2" t="n">
        <v>43235.24609953703</v>
      </c>
      <c r="C722" t="n">
        <v>0</v>
      </c>
      <c r="D722" t="n">
        <v>1</v>
      </c>
      <c r="E722" t="s">
        <v>733</v>
      </c>
      <c r="F722" t="s"/>
      <c r="G722" t="s"/>
      <c r="H722" t="s"/>
      <c r="I722" t="s"/>
      <c r="J722" t="n">
        <v>-0.4939</v>
      </c>
      <c r="K722" t="n">
        <v>0.198</v>
      </c>
      <c r="L722" t="n">
        <v>0.802</v>
      </c>
      <c r="M722" t="n">
        <v>0</v>
      </c>
    </row>
    <row r="723" spans="1:13">
      <c r="A723" s="1">
        <f>HYPERLINK("http://www.twitter.com/NathanBLawrence/status/996266044737048576", "996266044737048576")</f>
        <v/>
      </c>
      <c r="B723" s="2" t="n">
        <v>43235.24200231482</v>
      </c>
      <c r="C723" t="n">
        <v>0</v>
      </c>
      <c r="D723" t="n">
        <v>0</v>
      </c>
      <c r="E723" t="s">
        <v>734</v>
      </c>
      <c r="F723" t="s"/>
      <c r="G723" t="s"/>
      <c r="H723" t="s"/>
      <c r="I723" t="s"/>
      <c r="J723" t="n">
        <v>-0.4871</v>
      </c>
      <c r="K723" t="n">
        <v>0.136</v>
      </c>
      <c r="L723" t="n">
        <v>0.864</v>
      </c>
      <c r="M723" t="n">
        <v>0</v>
      </c>
    </row>
    <row r="724" spans="1:13">
      <c r="A724" s="1">
        <f>HYPERLINK("http://www.twitter.com/NathanBLawrence/status/996265415171952640", "996265415171952640")</f>
        <v/>
      </c>
      <c r="B724" s="2" t="n">
        <v>43235.24026620371</v>
      </c>
      <c r="C724" t="n">
        <v>0</v>
      </c>
      <c r="D724" t="n">
        <v>0</v>
      </c>
      <c r="E724" t="s">
        <v>735</v>
      </c>
      <c r="F724" t="s"/>
      <c r="G724" t="s"/>
      <c r="H724" t="s"/>
      <c r="I724" t="s"/>
      <c r="J724" t="n">
        <v>-0.2023</v>
      </c>
      <c r="K724" t="n">
        <v>0.122</v>
      </c>
      <c r="L724" t="n">
        <v>0.878</v>
      </c>
      <c r="M724" t="n">
        <v>0</v>
      </c>
    </row>
    <row r="725" spans="1:13">
      <c r="A725" s="1">
        <f>HYPERLINK("http://www.twitter.com/NathanBLawrence/status/996264396220317696", "996264396220317696")</f>
        <v/>
      </c>
      <c r="B725" s="2" t="n">
        <v>43235.2374537037</v>
      </c>
      <c r="C725" t="n">
        <v>0</v>
      </c>
      <c r="D725" t="n">
        <v>3</v>
      </c>
      <c r="E725" t="s">
        <v>736</v>
      </c>
      <c r="F725" t="s"/>
      <c r="G725" t="s"/>
      <c r="H725" t="s"/>
      <c r="I725" t="s"/>
      <c r="J725" t="n">
        <v>0.6239</v>
      </c>
      <c r="K725" t="n">
        <v>0</v>
      </c>
      <c r="L725" t="n">
        <v>0.55</v>
      </c>
      <c r="M725" t="n">
        <v>0.45</v>
      </c>
    </row>
    <row r="726" spans="1:13">
      <c r="A726" s="1">
        <f>HYPERLINK("http://www.twitter.com/NathanBLawrence/status/996264348669558790", "996264348669558790")</f>
        <v/>
      </c>
      <c r="B726" s="2" t="n">
        <v>43235.23732638889</v>
      </c>
      <c r="C726" t="n">
        <v>0</v>
      </c>
      <c r="D726" t="n">
        <v>61</v>
      </c>
      <c r="E726" t="s">
        <v>737</v>
      </c>
      <c r="F726" t="s"/>
      <c r="G726" t="s"/>
      <c r="H726" t="s"/>
      <c r="I726" t="s"/>
      <c r="J726" t="n">
        <v>-0.3612</v>
      </c>
      <c r="K726" t="n">
        <v>0.106</v>
      </c>
      <c r="L726" t="n">
        <v>0.894</v>
      </c>
      <c r="M726" t="n">
        <v>0</v>
      </c>
    </row>
    <row r="727" spans="1:13">
      <c r="A727" s="1">
        <f>HYPERLINK("http://www.twitter.com/NathanBLawrence/status/996263952425238528", "996263952425238528")</f>
        <v/>
      </c>
      <c r="B727" s="2" t="n">
        <v>43235.23622685186</v>
      </c>
      <c r="C727" t="n">
        <v>0</v>
      </c>
      <c r="D727" t="n">
        <v>4</v>
      </c>
      <c r="E727" t="s">
        <v>738</v>
      </c>
      <c r="F727" t="s"/>
      <c r="G727" t="s"/>
      <c r="H727" t="s"/>
      <c r="I727" t="s"/>
      <c r="J727" t="n">
        <v>0</v>
      </c>
      <c r="K727" t="n">
        <v>0</v>
      </c>
      <c r="L727" t="n">
        <v>1</v>
      </c>
      <c r="M727" t="n">
        <v>0</v>
      </c>
    </row>
    <row r="728" spans="1:13">
      <c r="A728" s="1">
        <f>HYPERLINK("http://www.twitter.com/NathanBLawrence/status/996263821005111297", "996263821005111297")</f>
        <v/>
      </c>
      <c r="B728" s="2" t="n">
        <v>43235.23586805556</v>
      </c>
      <c r="C728" t="n">
        <v>0</v>
      </c>
      <c r="D728" t="n">
        <v>6</v>
      </c>
      <c r="E728" t="s">
        <v>739</v>
      </c>
      <c r="F728" t="s"/>
      <c r="G728" t="s"/>
      <c r="H728" t="s"/>
      <c r="I728" t="s"/>
      <c r="J728" t="n">
        <v>-0.6486</v>
      </c>
      <c r="K728" t="n">
        <v>0.223</v>
      </c>
      <c r="L728" t="n">
        <v>0.777</v>
      </c>
      <c r="M728" t="n">
        <v>0</v>
      </c>
    </row>
    <row r="729" spans="1:13">
      <c r="A729" s="1">
        <f>HYPERLINK("http://www.twitter.com/NathanBLawrence/status/996261418155491328", "996261418155491328")</f>
        <v/>
      </c>
      <c r="B729" s="2" t="n">
        <v>43235.22923611111</v>
      </c>
      <c r="C729" t="n">
        <v>0</v>
      </c>
      <c r="D729" t="n">
        <v>3</v>
      </c>
      <c r="E729" t="s">
        <v>740</v>
      </c>
      <c r="F729" t="s"/>
      <c r="G729" t="s"/>
      <c r="H729" t="s"/>
      <c r="I729" t="s"/>
      <c r="J729" t="n">
        <v>0</v>
      </c>
      <c r="K729" t="n">
        <v>0</v>
      </c>
      <c r="L729" t="n">
        <v>1</v>
      </c>
      <c r="M729" t="n">
        <v>0</v>
      </c>
    </row>
    <row r="730" spans="1:13">
      <c r="A730" s="1">
        <f>HYPERLINK("http://www.twitter.com/NathanBLawrence/status/996260697938870277", "996260697938870277")</f>
        <v/>
      </c>
      <c r="B730" s="2" t="n">
        <v>43235.22724537037</v>
      </c>
      <c r="C730" t="n">
        <v>0</v>
      </c>
      <c r="D730" t="n">
        <v>6</v>
      </c>
      <c r="E730" t="s">
        <v>741</v>
      </c>
      <c r="F730" t="s"/>
      <c r="G730" t="s"/>
      <c r="H730" t="s"/>
      <c r="I730" t="s"/>
      <c r="J730" t="n">
        <v>0.128</v>
      </c>
      <c r="K730" t="n">
        <v>0.091</v>
      </c>
      <c r="L730" t="n">
        <v>0.798</v>
      </c>
      <c r="M730" t="n">
        <v>0.11</v>
      </c>
    </row>
    <row r="731" spans="1:13">
      <c r="A731" s="1">
        <f>HYPERLINK("http://www.twitter.com/NathanBLawrence/status/996260516925390848", "996260516925390848")</f>
        <v/>
      </c>
      <c r="B731" s="2" t="n">
        <v>43235.22674768518</v>
      </c>
      <c r="C731" t="n">
        <v>0</v>
      </c>
      <c r="D731" t="n">
        <v>6</v>
      </c>
      <c r="E731" t="s">
        <v>742</v>
      </c>
      <c r="F731" t="s"/>
      <c r="G731" t="s"/>
      <c r="H731" t="s"/>
      <c r="I731" t="s"/>
      <c r="J731" t="n">
        <v>-0.6573</v>
      </c>
      <c r="K731" t="n">
        <v>0.204</v>
      </c>
      <c r="L731" t="n">
        <v>0.796</v>
      </c>
      <c r="M731" t="n">
        <v>0</v>
      </c>
    </row>
    <row r="732" spans="1:13">
      <c r="A732" s="1">
        <f>HYPERLINK("http://www.twitter.com/NathanBLawrence/status/996260338130546688", "996260338130546688")</f>
        <v/>
      </c>
      <c r="B732" s="2" t="n">
        <v>43235.22625</v>
      </c>
      <c r="C732" t="n">
        <v>0</v>
      </c>
      <c r="D732" t="n">
        <v>12</v>
      </c>
      <c r="E732" t="s">
        <v>743</v>
      </c>
      <c r="F732" t="s"/>
      <c r="G732" t="s"/>
      <c r="H732" t="s"/>
      <c r="I732" t="s"/>
      <c r="J732" t="n">
        <v>-0.6249</v>
      </c>
      <c r="K732" t="n">
        <v>0.242</v>
      </c>
      <c r="L732" t="n">
        <v>0.758</v>
      </c>
      <c r="M732" t="n">
        <v>0</v>
      </c>
    </row>
    <row r="733" spans="1:13">
      <c r="A733" s="1">
        <f>HYPERLINK("http://www.twitter.com/NathanBLawrence/status/996260096903557120", "996260096903557120")</f>
        <v/>
      </c>
      <c r="B733" s="2" t="n">
        <v>43235.22559027778</v>
      </c>
      <c r="C733" t="n">
        <v>0</v>
      </c>
      <c r="D733" t="n">
        <v>2</v>
      </c>
      <c r="E733" t="s">
        <v>744</v>
      </c>
      <c r="F733" t="s"/>
      <c r="G733" t="s"/>
      <c r="H733" t="s"/>
      <c r="I733" t="s"/>
      <c r="J733" t="n">
        <v>-0.4023</v>
      </c>
      <c r="K733" t="n">
        <v>0.137</v>
      </c>
      <c r="L733" t="n">
        <v>0.863</v>
      </c>
      <c r="M733" t="n">
        <v>0</v>
      </c>
    </row>
    <row r="734" spans="1:13">
      <c r="A734" s="1">
        <f>HYPERLINK("http://www.twitter.com/NathanBLawrence/status/996259785401024512", "996259785401024512")</f>
        <v/>
      </c>
      <c r="B734" s="2" t="n">
        <v>43235.2247337963</v>
      </c>
      <c r="C734" t="n">
        <v>0</v>
      </c>
      <c r="D734" t="n">
        <v>3</v>
      </c>
      <c r="E734" t="s">
        <v>745</v>
      </c>
      <c r="F734" t="s"/>
      <c r="G734" t="s"/>
      <c r="H734" t="s"/>
      <c r="I734" t="s"/>
      <c r="J734" t="n">
        <v>-0.296</v>
      </c>
      <c r="K734" t="n">
        <v>0.109</v>
      </c>
      <c r="L734" t="n">
        <v>0.891</v>
      </c>
      <c r="M734" t="n">
        <v>0</v>
      </c>
    </row>
    <row r="735" spans="1:13">
      <c r="A735" s="1">
        <f>HYPERLINK("http://www.twitter.com/NathanBLawrence/status/996259443267354624", "996259443267354624")</f>
        <v/>
      </c>
      <c r="B735" s="2" t="n">
        <v>43235.22378472222</v>
      </c>
      <c r="C735" t="n">
        <v>0</v>
      </c>
      <c r="D735" t="n">
        <v>3</v>
      </c>
      <c r="E735" t="s">
        <v>746</v>
      </c>
      <c r="F735" t="s"/>
      <c r="G735" t="s"/>
      <c r="H735" t="s"/>
      <c r="I735" t="s"/>
      <c r="J735" t="n">
        <v>-0.8689</v>
      </c>
      <c r="K735" t="n">
        <v>0.317</v>
      </c>
      <c r="L735" t="n">
        <v>0.6830000000000001</v>
      </c>
      <c r="M735" t="n">
        <v>0</v>
      </c>
    </row>
    <row r="736" spans="1:13">
      <c r="A736" s="1">
        <f>HYPERLINK("http://www.twitter.com/NathanBLawrence/status/996258923794649089", "996258923794649089")</f>
        <v/>
      </c>
      <c r="B736" s="2" t="n">
        <v>43235.22234953703</v>
      </c>
      <c r="C736" t="n">
        <v>0</v>
      </c>
      <c r="D736" t="n">
        <v>11944</v>
      </c>
      <c r="E736" t="s">
        <v>747</v>
      </c>
      <c r="F736" t="s"/>
      <c r="G736" t="s"/>
      <c r="H736" t="s"/>
      <c r="I736" t="s"/>
      <c r="J736" t="n">
        <v>0</v>
      </c>
      <c r="K736" t="n">
        <v>0</v>
      </c>
      <c r="L736" t="n">
        <v>1</v>
      </c>
      <c r="M736" t="n">
        <v>0</v>
      </c>
    </row>
    <row r="737" spans="1:13">
      <c r="A737" s="1">
        <f>HYPERLINK("http://www.twitter.com/NathanBLawrence/status/996258513402785792", "996258513402785792")</f>
        <v/>
      </c>
      <c r="B737" s="2" t="n">
        <v>43235.22121527778</v>
      </c>
      <c r="C737" t="n">
        <v>0</v>
      </c>
      <c r="D737" t="n">
        <v>6</v>
      </c>
      <c r="E737" t="s">
        <v>748</v>
      </c>
      <c r="F737">
        <f>HYPERLINK("http://pbs.twimg.com/media/DdNqwjgWAAAM_bw.jpg", "http://pbs.twimg.com/media/DdNqwjgWAAAM_bw.jpg")</f>
        <v/>
      </c>
      <c r="G737" t="s"/>
      <c r="H737" t="s"/>
      <c r="I737" t="s"/>
      <c r="J737" t="n">
        <v>0</v>
      </c>
      <c r="K737" t="n">
        <v>0</v>
      </c>
      <c r="L737" t="n">
        <v>1</v>
      </c>
      <c r="M737" t="n">
        <v>0</v>
      </c>
    </row>
    <row r="738" spans="1:13">
      <c r="A738" s="1">
        <f>HYPERLINK("http://www.twitter.com/NathanBLawrence/status/996258485313585152", "996258485313585152")</f>
        <v/>
      </c>
      <c r="B738" s="2" t="n">
        <v>43235.22114583333</v>
      </c>
      <c r="C738" t="n">
        <v>0</v>
      </c>
      <c r="D738" t="n">
        <v>6</v>
      </c>
      <c r="E738" t="s">
        <v>749</v>
      </c>
      <c r="F738" t="s"/>
      <c r="G738" t="s"/>
      <c r="H738" t="s"/>
      <c r="I738" t="s"/>
      <c r="J738" t="n">
        <v>0.3612</v>
      </c>
      <c r="K738" t="n">
        <v>0</v>
      </c>
      <c r="L738" t="n">
        <v>0.902</v>
      </c>
      <c r="M738" t="n">
        <v>0.098</v>
      </c>
    </row>
    <row r="739" spans="1:13">
      <c r="A739" s="1">
        <f>HYPERLINK("http://www.twitter.com/NathanBLawrence/status/996258135907090432", "996258135907090432")</f>
        <v/>
      </c>
      <c r="B739" s="2" t="n">
        <v>43235.22017361111</v>
      </c>
      <c r="C739" t="n">
        <v>0</v>
      </c>
      <c r="D739" t="n">
        <v>6</v>
      </c>
      <c r="E739" t="s">
        <v>750</v>
      </c>
      <c r="F739" t="s"/>
      <c r="G739" t="s"/>
      <c r="H739" t="s"/>
      <c r="I739" t="s"/>
      <c r="J739" t="n">
        <v>0.2732</v>
      </c>
      <c r="K739" t="n">
        <v>0.059</v>
      </c>
      <c r="L739" t="n">
        <v>0.837</v>
      </c>
      <c r="M739" t="n">
        <v>0.105</v>
      </c>
    </row>
    <row r="740" spans="1:13">
      <c r="A740" s="1">
        <f>HYPERLINK("http://www.twitter.com/NathanBLawrence/status/996255838326083584", "996255838326083584")</f>
        <v/>
      </c>
      <c r="B740" s="2" t="n">
        <v>43235.2138425926</v>
      </c>
      <c r="C740" t="n">
        <v>1</v>
      </c>
      <c r="D740" t="n">
        <v>0</v>
      </c>
      <c r="E740" t="s">
        <v>751</v>
      </c>
      <c r="F740" t="s"/>
      <c r="G740" t="s"/>
      <c r="H740" t="s"/>
      <c r="I740" t="s"/>
      <c r="J740" t="n">
        <v>0</v>
      </c>
      <c r="K740" t="n">
        <v>0</v>
      </c>
      <c r="L740" t="n">
        <v>1</v>
      </c>
      <c r="M740" t="n">
        <v>0</v>
      </c>
    </row>
    <row r="741" spans="1:13">
      <c r="A741" s="1">
        <f>HYPERLINK("http://www.twitter.com/NathanBLawrence/status/996255272380190722", "996255272380190722")</f>
        <v/>
      </c>
      <c r="B741" s="2" t="n">
        <v>43235.21228009259</v>
      </c>
      <c r="C741" t="n">
        <v>0</v>
      </c>
      <c r="D741" t="n">
        <v>6</v>
      </c>
      <c r="E741" t="s">
        <v>752</v>
      </c>
      <c r="F741" t="s"/>
      <c r="G741" t="s"/>
      <c r="H741" t="s"/>
      <c r="I741" t="s"/>
      <c r="J741" t="n">
        <v>0</v>
      </c>
      <c r="K741" t="n">
        <v>0</v>
      </c>
      <c r="L741" t="n">
        <v>1</v>
      </c>
      <c r="M741" t="n">
        <v>0</v>
      </c>
    </row>
    <row r="742" spans="1:13">
      <c r="A742" s="1">
        <f>HYPERLINK("http://www.twitter.com/NathanBLawrence/status/996254589966954496", "996254589966954496")</f>
        <v/>
      </c>
      <c r="B742" s="2" t="n">
        <v>43235.21039351852</v>
      </c>
      <c r="C742" t="n">
        <v>0</v>
      </c>
      <c r="D742" t="n">
        <v>12</v>
      </c>
      <c r="E742" t="s">
        <v>753</v>
      </c>
      <c r="F742">
        <f>HYPERLINK("http://pbs.twimg.com/media/DdNlnVZVMAEyrTh.jpg", "http://pbs.twimg.com/media/DdNlnVZVMAEyrTh.jpg")</f>
        <v/>
      </c>
      <c r="G742" t="s"/>
      <c r="H742" t="s"/>
      <c r="I742" t="s"/>
      <c r="J742" t="n">
        <v>-0.1027</v>
      </c>
      <c r="K742" t="n">
        <v>0.055</v>
      </c>
      <c r="L742" t="n">
        <v>0.945</v>
      </c>
      <c r="M742" t="n">
        <v>0</v>
      </c>
    </row>
    <row r="743" spans="1:13">
      <c r="A743" s="1">
        <f>HYPERLINK("http://www.twitter.com/NathanBLawrence/status/996254281765302272", "996254281765302272")</f>
        <v/>
      </c>
      <c r="B743" s="2" t="n">
        <v>43235.20953703704</v>
      </c>
      <c r="C743" t="n">
        <v>0</v>
      </c>
      <c r="D743" t="n">
        <v>14</v>
      </c>
      <c r="E743" t="s">
        <v>754</v>
      </c>
      <c r="F743">
        <f>HYPERLINK("http://pbs.twimg.com/media/DdNjTeNWAAEUR_D.jpg", "http://pbs.twimg.com/media/DdNjTeNWAAEUR_D.jpg")</f>
        <v/>
      </c>
      <c r="G743" t="s"/>
      <c r="H743" t="s"/>
      <c r="I743" t="s"/>
      <c r="J743" t="n">
        <v>0.4389</v>
      </c>
      <c r="K743" t="n">
        <v>0.054</v>
      </c>
      <c r="L743" t="n">
        <v>0.778</v>
      </c>
      <c r="M743" t="n">
        <v>0.167</v>
      </c>
    </row>
    <row r="744" spans="1:13">
      <c r="A744" s="1">
        <f>HYPERLINK("http://www.twitter.com/NathanBLawrence/status/996253375233589248", "996253375233589248")</f>
        <v/>
      </c>
      <c r="B744" s="2" t="n">
        <v>43235.20703703703</v>
      </c>
      <c r="C744" t="n">
        <v>0</v>
      </c>
      <c r="D744" t="n">
        <v>17</v>
      </c>
      <c r="E744" t="s">
        <v>755</v>
      </c>
      <c r="F744">
        <f>HYPERLINK("http://pbs.twimg.com/media/DdNbxqDWAAAfDNi.jpg", "http://pbs.twimg.com/media/DdNbxqDWAAAfDNi.jpg")</f>
        <v/>
      </c>
      <c r="G744" t="s"/>
      <c r="H744" t="s"/>
      <c r="I744" t="s"/>
      <c r="J744" t="n">
        <v>-0.703</v>
      </c>
      <c r="K744" t="n">
        <v>0.226</v>
      </c>
      <c r="L744" t="n">
        <v>0.774</v>
      </c>
      <c r="M744" t="n">
        <v>0</v>
      </c>
    </row>
    <row r="745" spans="1:13">
      <c r="A745" s="1">
        <f>HYPERLINK("http://www.twitter.com/NathanBLawrence/status/996253077299580928", "996253077299580928")</f>
        <v/>
      </c>
      <c r="B745" s="2" t="n">
        <v>43235.20621527778</v>
      </c>
      <c r="C745" t="n">
        <v>0</v>
      </c>
      <c r="D745" t="n">
        <v>11</v>
      </c>
      <c r="E745" t="s">
        <v>756</v>
      </c>
      <c r="F745" t="s"/>
      <c r="G745" t="s"/>
      <c r="H745" t="s"/>
      <c r="I745" t="s"/>
      <c r="J745" t="n">
        <v>0</v>
      </c>
      <c r="K745" t="n">
        <v>0</v>
      </c>
      <c r="L745" t="n">
        <v>1</v>
      </c>
      <c r="M745" t="n">
        <v>0</v>
      </c>
    </row>
    <row r="746" spans="1:13">
      <c r="A746" s="1">
        <f>HYPERLINK("http://www.twitter.com/NathanBLawrence/status/996252950124085250", "996252950124085250")</f>
        <v/>
      </c>
      <c r="B746" s="2" t="n">
        <v>43235.20586805556</v>
      </c>
      <c r="C746" t="n">
        <v>0</v>
      </c>
      <c r="D746" t="n">
        <v>1</v>
      </c>
      <c r="E746" t="s">
        <v>757</v>
      </c>
      <c r="F746" t="s"/>
      <c r="G746" t="s"/>
      <c r="H746" t="s"/>
      <c r="I746" t="s"/>
      <c r="J746" t="n">
        <v>0</v>
      </c>
      <c r="K746" t="n">
        <v>0</v>
      </c>
      <c r="L746" t="n">
        <v>1</v>
      </c>
      <c r="M746" t="n">
        <v>0</v>
      </c>
    </row>
    <row r="747" spans="1:13">
      <c r="A747" s="1">
        <f>HYPERLINK("http://www.twitter.com/NathanBLawrence/status/996252199813464064", "996252199813464064")</f>
        <v/>
      </c>
      <c r="B747" s="2" t="n">
        <v>43235.20379629629</v>
      </c>
      <c r="C747" t="n">
        <v>4</v>
      </c>
      <c r="D747" t="n">
        <v>1</v>
      </c>
      <c r="E747" t="s">
        <v>758</v>
      </c>
      <c r="F747" t="s"/>
      <c r="G747" t="s"/>
      <c r="H747" t="s"/>
      <c r="I747" t="s"/>
      <c r="J747" t="n">
        <v>0.3182</v>
      </c>
      <c r="K747" t="n">
        <v>0.067</v>
      </c>
      <c r="L747" t="n">
        <v>0.804</v>
      </c>
      <c r="M747" t="n">
        <v>0.129</v>
      </c>
    </row>
    <row r="748" spans="1:13">
      <c r="A748" s="1">
        <f>HYPERLINK("http://www.twitter.com/NathanBLawrence/status/996251831834632193", "996251831834632193")</f>
        <v/>
      </c>
      <c r="B748" s="2" t="n">
        <v>43235.20277777778</v>
      </c>
      <c r="C748" t="n">
        <v>1</v>
      </c>
      <c r="D748" t="n">
        <v>0</v>
      </c>
      <c r="E748" t="s">
        <v>759</v>
      </c>
      <c r="F748" t="s"/>
      <c r="G748" t="s"/>
      <c r="H748" t="s"/>
      <c r="I748" t="s"/>
      <c r="J748" t="n">
        <v>0.3182</v>
      </c>
      <c r="K748" t="n">
        <v>0.067</v>
      </c>
      <c r="L748" t="n">
        <v>0.804</v>
      </c>
      <c r="M748" t="n">
        <v>0.129</v>
      </c>
    </row>
    <row r="749" spans="1:13">
      <c r="A749" s="1">
        <f>HYPERLINK("http://www.twitter.com/NathanBLawrence/status/996249335581982721", "996249335581982721")</f>
        <v/>
      </c>
      <c r="B749" s="2" t="n">
        <v>43235.1958912037</v>
      </c>
      <c r="C749" t="n">
        <v>0</v>
      </c>
      <c r="D749" t="n">
        <v>0</v>
      </c>
      <c r="E749" t="s">
        <v>760</v>
      </c>
      <c r="F749" t="s"/>
      <c r="G749" t="s"/>
      <c r="H749" t="s"/>
      <c r="I749" t="s"/>
      <c r="J749" t="n">
        <v>0</v>
      </c>
      <c r="K749" t="n">
        <v>0</v>
      </c>
      <c r="L749" t="n">
        <v>1</v>
      </c>
      <c r="M749" t="n">
        <v>0</v>
      </c>
    </row>
    <row r="750" spans="1:13">
      <c r="A750" s="1">
        <f>HYPERLINK("http://www.twitter.com/NathanBLawrence/status/996248586131095552", "996248586131095552")</f>
        <v/>
      </c>
      <c r="B750" s="2" t="n">
        <v>43235.19381944444</v>
      </c>
      <c r="C750" t="n">
        <v>3</v>
      </c>
      <c r="D750" t="n">
        <v>1</v>
      </c>
      <c r="E750" t="s">
        <v>761</v>
      </c>
      <c r="F750" t="s"/>
      <c r="G750" t="s"/>
      <c r="H750" t="s"/>
      <c r="I750" t="s"/>
      <c r="J750" t="n">
        <v>0.5859</v>
      </c>
      <c r="K750" t="n">
        <v>0</v>
      </c>
      <c r="L750" t="n">
        <v>0.89</v>
      </c>
      <c r="M750" t="n">
        <v>0.11</v>
      </c>
    </row>
    <row r="751" spans="1:13">
      <c r="A751" s="1">
        <f>HYPERLINK("http://www.twitter.com/NathanBLawrence/status/996246508964999168", "996246508964999168")</f>
        <v/>
      </c>
      <c r="B751" s="2" t="n">
        <v>43235.18809027778</v>
      </c>
      <c r="C751" t="n">
        <v>0</v>
      </c>
      <c r="D751" t="n">
        <v>1</v>
      </c>
      <c r="E751" t="s">
        <v>762</v>
      </c>
      <c r="F751" t="s"/>
      <c r="G751" t="s"/>
      <c r="H751" t="s"/>
      <c r="I751" t="s"/>
      <c r="J751" t="n">
        <v>0</v>
      </c>
      <c r="K751" t="n">
        <v>0</v>
      </c>
      <c r="L751" t="n">
        <v>1</v>
      </c>
      <c r="M751" t="n">
        <v>0</v>
      </c>
    </row>
    <row r="752" spans="1:13">
      <c r="A752" s="1">
        <f>HYPERLINK("http://www.twitter.com/NathanBLawrence/status/996246345395552256", "996246345395552256")</f>
        <v/>
      </c>
      <c r="B752" s="2" t="n">
        <v>43235.18763888889</v>
      </c>
      <c r="C752" t="n">
        <v>0</v>
      </c>
      <c r="D752" t="n">
        <v>2</v>
      </c>
      <c r="E752" t="s">
        <v>763</v>
      </c>
      <c r="F752">
        <f>HYPERLINK("http://pbs.twimg.com/media/DdNYyAmWkAAfV_a.jpg", "http://pbs.twimg.com/media/DdNYyAmWkAAfV_a.jpg")</f>
        <v/>
      </c>
      <c r="G752" t="s"/>
      <c r="H752" t="s"/>
      <c r="I752" t="s"/>
      <c r="J752" t="n">
        <v>0</v>
      </c>
      <c r="K752" t="n">
        <v>0</v>
      </c>
      <c r="L752" t="n">
        <v>1</v>
      </c>
      <c r="M752" t="n">
        <v>0</v>
      </c>
    </row>
    <row r="753" spans="1:13">
      <c r="A753" s="1">
        <f>HYPERLINK("http://www.twitter.com/NathanBLawrence/status/996246162205114368", "996246162205114368")</f>
        <v/>
      </c>
      <c r="B753" s="2" t="n">
        <v>43235.18714120371</v>
      </c>
      <c r="C753" t="n">
        <v>0</v>
      </c>
      <c r="D753" t="n">
        <v>13</v>
      </c>
      <c r="E753" t="s">
        <v>764</v>
      </c>
      <c r="F753">
        <f>HYPERLINK("http://pbs.twimg.com/media/DdNNmBfWkAIePMt.jpg", "http://pbs.twimg.com/media/DdNNmBfWkAIePMt.jpg")</f>
        <v/>
      </c>
      <c r="G753" t="s"/>
      <c r="H753" t="s"/>
      <c r="I753" t="s"/>
      <c r="J753" t="n">
        <v>0</v>
      </c>
      <c r="K753" t="n">
        <v>0</v>
      </c>
      <c r="L753" t="n">
        <v>1</v>
      </c>
      <c r="M753" t="n">
        <v>0</v>
      </c>
    </row>
    <row r="754" spans="1:13">
      <c r="A754" s="1">
        <f>HYPERLINK("http://www.twitter.com/NathanBLawrence/status/996246053719441409", "996246053719441409")</f>
        <v/>
      </c>
      <c r="B754" s="2" t="n">
        <v>43235.18684027778</v>
      </c>
      <c r="C754" t="n">
        <v>0</v>
      </c>
      <c r="D754" t="n">
        <v>2</v>
      </c>
      <c r="E754" t="s">
        <v>765</v>
      </c>
      <c r="F754" t="s"/>
      <c r="G754" t="s"/>
      <c r="H754" t="s"/>
      <c r="I754" t="s"/>
      <c r="J754" t="n">
        <v>0.4404</v>
      </c>
      <c r="K754" t="n">
        <v>0</v>
      </c>
      <c r="L754" t="n">
        <v>0.828</v>
      </c>
      <c r="M754" t="n">
        <v>0.172</v>
      </c>
    </row>
    <row r="755" spans="1:13">
      <c r="A755" s="1">
        <f>HYPERLINK("http://www.twitter.com/NathanBLawrence/status/996246011348639744", "996246011348639744")</f>
        <v/>
      </c>
      <c r="B755" s="2" t="n">
        <v>43235.18672453704</v>
      </c>
      <c r="C755" t="n">
        <v>0</v>
      </c>
      <c r="D755" t="n">
        <v>2</v>
      </c>
      <c r="E755" t="s">
        <v>766</v>
      </c>
      <c r="F755" t="s"/>
      <c r="G755" t="s"/>
      <c r="H755" t="s"/>
      <c r="I755" t="s"/>
      <c r="J755" t="n">
        <v>-0.4404</v>
      </c>
      <c r="K755" t="n">
        <v>0.132</v>
      </c>
      <c r="L755" t="n">
        <v>0.868</v>
      </c>
      <c r="M755" t="n">
        <v>0</v>
      </c>
    </row>
    <row r="756" spans="1:13">
      <c r="A756" s="1">
        <f>HYPERLINK("http://www.twitter.com/NathanBLawrence/status/996245894356877313", "996245894356877313")</f>
        <v/>
      </c>
      <c r="B756" s="2" t="n">
        <v>43235.18640046296</v>
      </c>
      <c r="C756" t="n">
        <v>0</v>
      </c>
      <c r="D756" t="n">
        <v>1</v>
      </c>
      <c r="E756" t="s">
        <v>767</v>
      </c>
      <c r="F756" t="s"/>
      <c r="G756" t="s"/>
      <c r="H756" t="s"/>
      <c r="I756" t="s"/>
      <c r="J756" t="n">
        <v>0</v>
      </c>
      <c r="K756" t="n">
        <v>0</v>
      </c>
      <c r="L756" t="n">
        <v>1</v>
      </c>
      <c r="M756" t="n">
        <v>0</v>
      </c>
    </row>
    <row r="757" spans="1:13">
      <c r="A757" s="1">
        <f>HYPERLINK("http://www.twitter.com/NathanBLawrence/status/996245835410169856", "996245835410169856")</f>
        <v/>
      </c>
      <c r="B757" s="2" t="n">
        <v>43235.18623842593</v>
      </c>
      <c r="C757" t="n">
        <v>0</v>
      </c>
      <c r="D757" t="n">
        <v>3</v>
      </c>
      <c r="E757" t="s">
        <v>768</v>
      </c>
      <c r="F757" t="s"/>
      <c r="G757" t="s"/>
      <c r="H757" t="s"/>
      <c r="I757" t="s"/>
      <c r="J757" t="n">
        <v>0.4939</v>
      </c>
      <c r="K757" t="n">
        <v>0</v>
      </c>
      <c r="L757" t="n">
        <v>0.862</v>
      </c>
      <c r="M757" t="n">
        <v>0.138</v>
      </c>
    </row>
    <row r="758" spans="1:13">
      <c r="A758" s="1">
        <f>HYPERLINK("http://www.twitter.com/NathanBLawrence/status/996245758725701632", "996245758725701632")</f>
        <v/>
      </c>
      <c r="B758" s="2" t="n">
        <v>43235.18601851852</v>
      </c>
      <c r="C758" t="n">
        <v>0</v>
      </c>
      <c r="D758" t="n">
        <v>2</v>
      </c>
      <c r="E758" t="s">
        <v>769</v>
      </c>
      <c r="F758" t="s"/>
      <c r="G758" t="s"/>
      <c r="H758" t="s"/>
      <c r="I758" t="s"/>
      <c r="J758" t="n">
        <v>0.7506</v>
      </c>
      <c r="K758" t="n">
        <v>0</v>
      </c>
      <c r="L758" t="n">
        <v>0.6929999999999999</v>
      </c>
      <c r="M758" t="n">
        <v>0.307</v>
      </c>
    </row>
    <row r="759" spans="1:13">
      <c r="A759" s="1">
        <f>HYPERLINK("http://www.twitter.com/NathanBLawrence/status/996245504462749697", "996245504462749697")</f>
        <v/>
      </c>
      <c r="B759" s="2" t="n">
        <v>43235.18532407407</v>
      </c>
      <c r="C759" t="n">
        <v>0</v>
      </c>
      <c r="D759" t="n">
        <v>25</v>
      </c>
      <c r="E759" t="s">
        <v>770</v>
      </c>
      <c r="F759" t="s"/>
      <c r="G759" t="s"/>
      <c r="H759" t="s"/>
      <c r="I759" t="s"/>
      <c r="J759" t="n">
        <v>0.0258</v>
      </c>
      <c r="K759" t="n">
        <v>0.114</v>
      </c>
      <c r="L759" t="n">
        <v>0.769</v>
      </c>
      <c r="M759" t="n">
        <v>0.117</v>
      </c>
    </row>
    <row r="760" spans="1:13">
      <c r="A760" s="1">
        <f>HYPERLINK("http://www.twitter.com/NathanBLawrence/status/996244746992472064", "996244746992472064")</f>
        <v/>
      </c>
      <c r="B760" s="2" t="n">
        <v>43235.18322916667</v>
      </c>
      <c r="C760" t="n">
        <v>0</v>
      </c>
      <c r="D760" t="n">
        <v>1</v>
      </c>
      <c r="E760" t="s">
        <v>771</v>
      </c>
      <c r="F760" t="s"/>
      <c r="G760" t="s"/>
      <c r="H760" t="s"/>
      <c r="I760" t="s"/>
      <c r="J760" t="n">
        <v>0.128</v>
      </c>
      <c r="K760" t="n">
        <v>0</v>
      </c>
      <c r="L760" t="n">
        <v>0.914</v>
      </c>
      <c r="M760" t="n">
        <v>0.08599999999999999</v>
      </c>
    </row>
    <row r="761" spans="1:13">
      <c r="A761" s="1">
        <f>HYPERLINK("http://www.twitter.com/NathanBLawrence/status/996243895376723968", "996243895376723968")</f>
        <v/>
      </c>
      <c r="B761" s="2" t="n">
        <v>43235.18087962963</v>
      </c>
      <c r="C761" t="n">
        <v>0</v>
      </c>
      <c r="D761" t="n">
        <v>7</v>
      </c>
      <c r="E761" t="s">
        <v>772</v>
      </c>
      <c r="F761" t="s"/>
      <c r="G761" t="s"/>
      <c r="H761" t="s"/>
      <c r="I761" t="s"/>
      <c r="J761" t="n">
        <v>0</v>
      </c>
      <c r="K761" t="n">
        <v>0</v>
      </c>
      <c r="L761" t="n">
        <v>1</v>
      </c>
      <c r="M761" t="n">
        <v>0</v>
      </c>
    </row>
    <row r="762" spans="1:13">
      <c r="A762" s="1">
        <f>HYPERLINK("http://www.twitter.com/NathanBLawrence/status/996243806000332800", "996243806000332800")</f>
        <v/>
      </c>
      <c r="B762" s="2" t="n">
        <v>43235.18063657408</v>
      </c>
      <c r="C762" t="n">
        <v>0</v>
      </c>
      <c r="D762" t="n">
        <v>4</v>
      </c>
      <c r="E762" t="s">
        <v>773</v>
      </c>
      <c r="F762" t="s"/>
      <c r="G762" t="s"/>
      <c r="H762" t="s"/>
      <c r="I762" t="s"/>
      <c r="J762" t="n">
        <v>0</v>
      </c>
      <c r="K762" t="n">
        <v>0</v>
      </c>
      <c r="L762" t="n">
        <v>1</v>
      </c>
      <c r="M762" t="n">
        <v>0</v>
      </c>
    </row>
    <row r="763" spans="1:13">
      <c r="A763" s="1">
        <f>HYPERLINK("http://www.twitter.com/NathanBLawrence/status/996243774413025281", "996243774413025281")</f>
        <v/>
      </c>
      <c r="B763" s="2" t="n">
        <v>43235.18054398148</v>
      </c>
      <c r="C763" t="n">
        <v>5</v>
      </c>
      <c r="D763" t="n">
        <v>4</v>
      </c>
      <c r="E763" t="s">
        <v>774</v>
      </c>
      <c r="F763" t="s"/>
      <c r="G763" t="s"/>
      <c r="H763" t="s"/>
      <c r="I763" t="s"/>
      <c r="J763" t="n">
        <v>-0.2732</v>
      </c>
      <c r="K763" t="n">
        <v>0.081</v>
      </c>
      <c r="L763" t="n">
        <v>0.879</v>
      </c>
      <c r="M763" t="n">
        <v>0.04</v>
      </c>
    </row>
    <row r="764" spans="1:13">
      <c r="A764" s="1">
        <f>HYPERLINK("http://www.twitter.com/NathanBLawrence/status/996243341099417601", "996243341099417601")</f>
        <v/>
      </c>
      <c r="B764" s="2" t="n">
        <v>43235.17935185185</v>
      </c>
      <c r="C764" t="n">
        <v>0</v>
      </c>
      <c r="D764" t="n">
        <v>11</v>
      </c>
      <c r="E764" t="s">
        <v>775</v>
      </c>
      <c r="F764">
        <f>HYPERLINK("http://pbs.twimg.com/media/DdM32eKVAAALbAz.jpg", "http://pbs.twimg.com/media/DdM32eKVAAALbAz.jpg")</f>
        <v/>
      </c>
      <c r="G764">
        <f>HYPERLINK("http://pbs.twimg.com/media/DdM33KfU8AM3oUw.jpg", "http://pbs.twimg.com/media/DdM33KfU8AM3oUw.jpg")</f>
        <v/>
      </c>
      <c r="H764" t="s"/>
      <c r="I764" t="s"/>
      <c r="J764" t="n">
        <v>0</v>
      </c>
      <c r="K764" t="n">
        <v>0</v>
      </c>
      <c r="L764" t="n">
        <v>1</v>
      </c>
      <c r="M764" t="n">
        <v>0</v>
      </c>
    </row>
    <row r="765" spans="1:13">
      <c r="A765" s="1">
        <f>HYPERLINK("http://www.twitter.com/NathanBLawrence/status/996243050736189440", "996243050736189440")</f>
        <v/>
      </c>
      <c r="B765" s="2" t="n">
        <v>43235.17855324074</v>
      </c>
      <c r="C765" t="n">
        <v>0</v>
      </c>
      <c r="D765" t="n">
        <v>0</v>
      </c>
      <c r="E765" t="s">
        <v>776</v>
      </c>
      <c r="F765" t="s"/>
      <c r="G765" t="s"/>
      <c r="H765" t="s"/>
      <c r="I765" t="s"/>
      <c r="J765" t="n">
        <v>0.0477</v>
      </c>
      <c r="K765" t="n">
        <v>0.201</v>
      </c>
      <c r="L765" t="n">
        <v>0.591</v>
      </c>
      <c r="M765" t="n">
        <v>0.208</v>
      </c>
    </row>
    <row r="766" spans="1:13">
      <c r="A766" s="1">
        <f>HYPERLINK("http://www.twitter.com/NathanBLawrence/status/996242728567504902", "996242728567504902")</f>
        <v/>
      </c>
      <c r="B766" s="2" t="n">
        <v>43235.17766203704</v>
      </c>
      <c r="C766" t="n">
        <v>0</v>
      </c>
      <c r="D766" t="n">
        <v>1</v>
      </c>
      <c r="E766" t="s">
        <v>777</v>
      </c>
      <c r="F766" t="s"/>
      <c r="G766" t="s"/>
      <c r="H766" t="s"/>
      <c r="I766" t="s"/>
      <c r="J766" t="n">
        <v>0</v>
      </c>
      <c r="K766" t="n">
        <v>0</v>
      </c>
      <c r="L766" t="n">
        <v>1</v>
      </c>
      <c r="M766" t="n">
        <v>0</v>
      </c>
    </row>
    <row r="767" spans="1:13">
      <c r="A767" s="1">
        <f>HYPERLINK("http://www.twitter.com/NathanBLawrence/status/996242710221668352", "996242710221668352")</f>
        <v/>
      </c>
      <c r="B767" s="2" t="n">
        <v>43235.17761574074</v>
      </c>
      <c r="C767" t="n">
        <v>0</v>
      </c>
      <c r="D767" t="n">
        <v>1</v>
      </c>
      <c r="E767" t="s">
        <v>778</v>
      </c>
      <c r="F767" t="s"/>
      <c r="G767" t="s"/>
      <c r="H767" t="s"/>
      <c r="I767" t="s"/>
      <c r="J767" t="n">
        <v>0</v>
      </c>
      <c r="K767" t="n">
        <v>0</v>
      </c>
      <c r="L767" t="n">
        <v>1</v>
      </c>
      <c r="M767" t="n">
        <v>0</v>
      </c>
    </row>
    <row r="768" spans="1:13">
      <c r="A768" s="1">
        <f>HYPERLINK("http://www.twitter.com/NathanBLawrence/status/996241961903243265", "996241961903243265")</f>
        <v/>
      </c>
      <c r="B768" s="2" t="n">
        <v>43235.17554398148</v>
      </c>
      <c r="C768" t="n">
        <v>0</v>
      </c>
      <c r="D768" t="n">
        <v>30</v>
      </c>
      <c r="E768" t="s">
        <v>779</v>
      </c>
      <c r="F768" t="s"/>
      <c r="G768" t="s"/>
      <c r="H768" t="s"/>
      <c r="I768" t="s"/>
      <c r="J768" t="n">
        <v>-0.3182</v>
      </c>
      <c r="K768" t="n">
        <v>0.209</v>
      </c>
      <c r="L768" t="n">
        <v>0.672</v>
      </c>
      <c r="M768" t="n">
        <v>0.119</v>
      </c>
    </row>
    <row r="769" spans="1:13">
      <c r="A769" s="1">
        <f>HYPERLINK("http://www.twitter.com/NathanBLawrence/status/996241681279172608", "996241681279172608")</f>
        <v/>
      </c>
      <c r="B769" s="2" t="n">
        <v>43235.17476851852</v>
      </c>
      <c r="C769" t="n">
        <v>0</v>
      </c>
      <c r="D769" t="n">
        <v>0</v>
      </c>
      <c r="E769" t="s">
        <v>780</v>
      </c>
      <c r="F769" t="s"/>
      <c r="G769" t="s"/>
      <c r="H769" t="s"/>
      <c r="I769" t="s"/>
      <c r="J769" t="n">
        <v>-0.7003</v>
      </c>
      <c r="K769" t="n">
        <v>0.209</v>
      </c>
      <c r="L769" t="n">
        <v>0.791</v>
      </c>
      <c r="M769" t="n">
        <v>0</v>
      </c>
    </row>
    <row r="770" spans="1:13">
      <c r="A770" s="1">
        <f>HYPERLINK("http://www.twitter.com/NathanBLawrence/status/996241302491574275", "996241302491574275")</f>
        <v/>
      </c>
      <c r="B770" s="2" t="n">
        <v>43235.17372685186</v>
      </c>
      <c r="C770" t="n">
        <v>0</v>
      </c>
      <c r="D770" t="n">
        <v>0</v>
      </c>
      <c r="E770" t="s">
        <v>781</v>
      </c>
      <c r="F770" t="s"/>
      <c r="G770" t="s"/>
      <c r="H770" t="s"/>
      <c r="I770" t="s"/>
      <c r="J770" t="n">
        <v>-0.6369</v>
      </c>
      <c r="K770" t="n">
        <v>0.231</v>
      </c>
      <c r="L770" t="n">
        <v>0.769</v>
      </c>
      <c r="M770" t="n">
        <v>0</v>
      </c>
    </row>
    <row r="771" spans="1:13">
      <c r="A771" s="1">
        <f>HYPERLINK("http://www.twitter.com/NathanBLawrence/status/996240041176219648", "996240041176219648")</f>
        <v/>
      </c>
      <c r="B771" s="2" t="n">
        <v>43235.17024305555</v>
      </c>
      <c r="C771" t="n">
        <v>0</v>
      </c>
      <c r="D771" t="n">
        <v>3</v>
      </c>
      <c r="E771" t="s">
        <v>782</v>
      </c>
      <c r="F771" t="s"/>
      <c r="G771" t="s"/>
      <c r="H771" t="s"/>
      <c r="I771" t="s"/>
      <c r="J771" t="n">
        <v>-0.8217</v>
      </c>
      <c r="K771" t="n">
        <v>0.256</v>
      </c>
      <c r="L771" t="n">
        <v>0.744</v>
      </c>
      <c r="M771" t="n">
        <v>0</v>
      </c>
    </row>
    <row r="772" spans="1:13">
      <c r="A772" s="1">
        <f>HYPERLINK("http://www.twitter.com/NathanBLawrence/status/996239939674169345", "996239939674169345")</f>
        <v/>
      </c>
      <c r="B772" s="2" t="n">
        <v>43235.16996527778</v>
      </c>
      <c r="C772" t="n">
        <v>0</v>
      </c>
      <c r="D772" t="n">
        <v>1</v>
      </c>
      <c r="E772" t="s">
        <v>783</v>
      </c>
      <c r="F772" t="s"/>
      <c r="G772" t="s"/>
      <c r="H772" t="s"/>
      <c r="I772" t="s"/>
      <c r="J772" t="n">
        <v>0.5574</v>
      </c>
      <c r="K772" t="n">
        <v>0.081</v>
      </c>
      <c r="L772" t="n">
        <v>0.698</v>
      </c>
      <c r="M772" t="n">
        <v>0.221</v>
      </c>
    </row>
    <row r="773" spans="1:13">
      <c r="A773" s="1">
        <f>HYPERLINK("http://www.twitter.com/NathanBLawrence/status/996239791233495041", "996239791233495041")</f>
        <v/>
      </c>
      <c r="B773" s="2" t="n">
        <v>43235.16956018518</v>
      </c>
      <c r="C773" t="n">
        <v>0</v>
      </c>
      <c r="D773" t="n">
        <v>13</v>
      </c>
      <c r="E773" t="s">
        <v>784</v>
      </c>
      <c r="F773" t="s"/>
      <c r="G773" t="s"/>
      <c r="H773" t="s"/>
      <c r="I773" t="s"/>
      <c r="J773" t="n">
        <v>0.3818</v>
      </c>
      <c r="K773" t="n">
        <v>0</v>
      </c>
      <c r="L773" t="n">
        <v>0.89</v>
      </c>
      <c r="M773" t="n">
        <v>0.11</v>
      </c>
    </row>
    <row r="774" spans="1:13">
      <c r="A774" s="1">
        <f>HYPERLINK("http://www.twitter.com/NathanBLawrence/status/996238771992477696", "996238771992477696")</f>
        <v/>
      </c>
      <c r="B774" s="2" t="n">
        <v>43235.16674768519</v>
      </c>
      <c r="C774" t="n">
        <v>0</v>
      </c>
      <c r="D774" t="n">
        <v>23</v>
      </c>
      <c r="E774" t="s">
        <v>785</v>
      </c>
      <c r="F774">
        <f>HYPERLINK("http://pbs.twimg.com/media/DdMvXEtU8AAgf7a.jpg", "http://pbs.twimg.com/media/DdMvXEtU8AAgf7a.jpg")</f>
        <v/>
      </c>
      <c r="G774" t="s"/>
      <c r="H774" t="s"/>
      <c r="I774" t="s"/>
      <c r="J774" t="n">
        <v>-0.296</v>
      </c>
      <c r="K774" t="n">
        <v>0.104</v>
      </c>
      <c r="L774" t="n">
        <v>0.896</v>
      </c>
      <c r="M774" t="n">
        <v>0</v>
      </c>
    </row>
    <row r="775" spans="1:13">
      <c r="A775" s="1">
        <f>HYPERLINK("http://www.twitter.com/NathanBLawrence/status/996238607374413824", "996238607374413824")</f>
        <v/>
      </c>
      <c r="B775" s="2" t="n">
        <v>43235.16628472223</v>
      </c>
      <c r="C775" t="n">
        <v>0</v>
      </c>
      <c r="D775" t="n">
        <v>36</v>
      </c>
      <c r="E775" t="s">
        <v>786</v>
      </c>
      <c r="F775">
        <f>HYPERLINK("http://pbs.twimg.com/media/DdMo_hGWAAA9-6q.jpg", "http://pbs.twimg.com/media/DdMo_hGWAAA9-6q.jpg")</f>
        <v/>
      </c>
      <c r="G775" t="s"/>
      <c r="H775" t="s"/>
      <c r="I775" t="s"/>
      <c r="J775" t="n">
        <v>-0.3578</v>
      </c>
      <c r="K775" t="n">
        <v>0.112</v>
      </c>
      <c r="L775" t="n">
        <v>0.837</v>
      </c>
      <c r="M775" t="n">
        <v>0.05</v>
      </c>
    </row>
    <row r="776" spans="1:13">
      <c r="A776" s="1">
        <f>HYPERLINK("http://www.twitter.com/NathanBLawrence/status/996238262472617984", "996238262472617984")</f>
        <v/>
      </c>
      <c r="B776" s="2" t="n">
        <v>43235.16533564815</v>
      </c>
      <c r="C776" t="n">
        <v>0</v>
      </c>
      <c r="D776" t="n">
        <v>2</v>
      </c>
      <c r="E776" t="s">
        <v>787</v>
      </c>
      <c r="F776" t="s"/>
      <c r="G776" t="s"/>
      <c r="H776" t="s"/>
      <c r="I776" t="s"/>
      <c r="J776" t="n">
        <v>-0.296</v>
      </c>
      <c r="K776" t="n">
        <v>0.115</v>
      </c>
      <c r="L776" t="n">
        <v>0.885</v>
      </c>
      <c r="M776" t="n">
        <v>0</v>
      </c>
    </row>
    <row r="777" spans="1:13">
      <c r="A777" s="1">
        <f>HYPERLINK("http://www.twitter.com/NathanBLawrence/status/996236921427775488", "996236921427775488")</f>
        <v/>
      </c>
      <c r="B777" s="2" t="n">
        <v>43235.16163194444</v>
      </c>
      <c r="C777" t="n">
        <v>0</v>
      </c>
      <c r="D777" t="n">
        <v>5</v>
      </c>
      <c r="E777" t="s">
        <v>788</v>
      </c>
      <c r="F777" t="s"/>
      <c r="G777" t="s"/>
      <c r="H777" t="s"/>
      <c r="I777" t="s"/>
      <c r="J777" t="n">
        <v>0.3226</v>
      </c>
      <c r="K777" t="n">
        <v>0.098</v>
      </c>
      <c r="L777" t="n">
        <v>0.712</v>
      </c>
      <c r="M777" t="n">
        <v>0.19</v>
      </c>
    </row>
    <row r="778" spans="1:13">
      <c r="A778" s="1">
        <f>HYPERLINK("http://www.twitter.com/NathanBLawrence/status/996236710731173888", "996236710731173888")</f>
        <v/>
      </c>
      <c r="B778" s="2" t="n">
        <v>43235.16105324074</v>
      </c>
      <c r="C778" t="n">
        <v>0</v>
      </c>
      <c r="D778" t="n">
        <v>1</v>
      </c>
      <c r="E778" t="s">
        <v>789</v>
      </c>
      <c r="F778">
        <f>HYPERLINK("http://pbs.twimg.com/media/DdNST_KV4AARI3e.jpg", "http://pbs.twimg.com/media/DdNST_KV4AARI3e.jpg")</f>
        <v/>
      </c>
      <c r="G778" t="s"/>
      <c r="H778" t="s"/>
      <c r="I778" t="s"/>
      <c r="J778" t="n">
        <v>0.5266999999999999</v>
      </c>
      <c r="K778" t="n">
        <v>0.08500000000000001</v>
      </c>
      <c r="L778" t="n">
        <v>0.704</v>
      </c>
      <c r="M778" t="n">
        <v>0.211</v>
      </c>
    </row>
    <row r="779" spans="1:13">
      <c r="A779" s="1">
        <f>HYPERLINK("http://www.twitter.com/NathanBLawrence/status/996236680116883457", "996236680116883457")</f>
        <v/>
      </c>
      <c r="B779" s="2" t="n">
        <v>43235.16097222222</v>
      </c>
      <c r="C779" t="n">
        <v>3</v>
      </c>
      <c r="D779" t="n">
        <v>1</v>
      </c>
      <c r="E779" t="s">
        <v>790</v>
      </c>
      <c r="F779" t="s"/>
      <c r="G779" t="s"/>
      <c r="H779" t="s"/>
      <c r="I779" t="s"/>
      <c r="J779" t="n">
        <v>0.3089</v>
      </c>
      <c r="K779" t="n">
        <v>0</v>
      </c>
      <c r="L779" t="n">
        <v>0.911</v>
      </c>
      <c r="M779" t="n">
        <v>0.089</v>
      </c>
    </row>
    <row r="780" spans="1:13">
      <c r="A780" s="1">
        <f>HYPERLINK("http://www.twitter.com/NathanBLawrence/status/996233537740156928", "996233537740156928")</f>
        <v/>
      </c>
      <c r="B780" s="2" t="n">
        <v>43235.15230324074</v>
      </c>
      <c r="C780" t="n">
        <v>0</v>
      </c>
      <c r="D780" t="n">
        <v>2</v>
      </c>
      <c r="E780" t="s">
        <v>791</v>
      </c>
      <c r="F780" t="s"/>
      <c r="G780" t="s"/>
      <c r="H780" t="s"/>
      <c r="I780" t="s"/>
      <c r="J780" t="n">
        <v>-0.1129</v>
      </c>
      <c r="K780" t="n">
        <v>0.152</v>
      </c>
      <c r="L780" t="n">
        <v>0.714</v>
      </c>
      <c r="M780" t="n">
        <v>0.135</v>
      </c>
    </row>
    <row r="781" spans="1:13">
      <c r="A781" s="1">
        <f>HYPERLINK("http://www.twitter.com/NathanBLawrence/status/996232690448777216", "996232690448777216")</f>
        <v/>
      </c>
      <c r="B781" s="2" t="n">
        <v>43235.14996527778</v>
      </c>
      <c r="C781" t="n">
        <v>0</v>
      </c>
      <c r="D781" t="n">
        <v>3</v>
      </c>
      <c r="E781" t="s">
        <v>792</v>
      </c>
      <c r="F781" t="s"/>
      <c r="G781" t="s"/>
      <c r="H781" t="s"/>
      <c r="I781" t="s"/>
      <c r="J781" t="n">
        <v>0.7269</v>
      </c>
      <c r="K781" t="n">
        <v>0</v>
      </c>
      <c r="L781" t="n">
        <v>0.717</v>
      </c>
      <c r="M781" t="n">
        <v>0.283</v>
      </c>
    </row>
    <row r="782" spans="1:13">
      <c r="A782" s="1">
        <f>HYPERLINK("http://www.twitter.com/NathanBLawrence/status/996232231927463937", "996232231927463937")</f>
        <v/>
      </c>
      <c r="B782" s="2" t="n">
        <v>43235.14869212963</v>
      </c>
      <c r="C782" t="n">
        <v>0</v>
      </c>
      <c r="D782" t="n">
        <v>0</v>
      </c>
      <c r="E782" t="s">
        <v>793</v>
      </c>
      <c r="F782" t="s"/>
      <c r="G782" t="s"/>
      <c r="H782" t="s"/>
      <c r="I782" t="s"/>
      <c r="J782" t="n">
        <v>-0.7812</v>
      </c>
      <c r="K782" t="n">
        <v>0.297</v>
      </c>
      <c r="L782" t="n">
        <v>0.631</v>
      </c>
      <c r="M782" t="n">
        <v>0.07199999999999999</v>
      </c>
    </row>
    <row r="783" spans="1:13">
      <c r="A783" s="1">
        <f>HYPERLINK("http://www.twitter.com/NathanBLawrence/status/996231479599423488", "996231479599423488")</f>
        <v/>
      </c>
      <c r="B783" s="2" t="n">
        <v>43235.14662037037</v>
      </c>
      <c r="C783" t="n">
        <v>0</v>
      </c>
      <c r="D783" t="n">
        <v>12</v>
      </c>
      <c r="E783" t="s">
        <v>794</v>
      </c>
      <c r="F783" t="s"/>
      <c r="G783" t="s"/>
      <c r="H783" t="s"/>
      <c r="I783" t="s"/>
      <c r="J783" t="n">
        <v>0.25</v>
      </c>
      <c r="K783" t="n">
        <v>0.09</v>
      </c>
      <c r="L783" t="n">
        <v>0.779</v>
      </c>
      <c r="M783" t="n">
        <v>0.131</v>
      </c>
    </row>
    <row r="784" spans="1:13">
      <c r="A784" s="1">
        <f>HYPERLINK("http://www.twitter.com/NathanBLawrence/status/996231089382342656", "996231089382342656")</f>
        <v/>
      </c>
      <c r="B784" s="2" t="n">
        <v>43235.14554398148</v>
      </c>
      <c r="C784" t="n">
        <v>0</v>
      </c>
      <c r="D784" t="n">
        <v>4</v>
      </c>
      <c r="E784" t="s">
        <v>795</v>
      </c>
      <c r="F784" t="s"/>
      <c r="G784" t="s"/>
      <c r="H784" t="s"/>
      <c r="I784" t="s"/>
      <c r="J784" t="n">
        <v>0.3987</v>
      </c>
      <c r="K784" t="n">
        <v>0</v>
      </c>
      <c r="L784" t="n">
        <v>0.829</v>
      </c>
      <c r="M784" t="n">
        <v>0.171</v>
      </c>
    </row>
    <row r="785" spans="1:13">
      <c r="A785" s="1">
        <f>HYPERLINK("http://www.twitter.com/NathanBLawrence/status/996230498371317760", "996230498371317760")</f>
        <v/>
      </c>
      <c r="B785" s="2" t="n">
        <v>43235.14391203703</v>
      </c>
      <c r="C785" t="n">
        <v>2</v>
      </c>
      <c r="D785" t="n">
        <v>1</v>
      </c>
      <c r="E785" t="s">
        <v>796</v>
      </c>
      <c r="F785" t="s"/>
      <c r="G785" t="s"/>
      <c r="H785" t="s"/>
      <c r="I785" t="s"/>
      <c r="J785" t="n">
        <v>0</v>
      </c>
      <c r="K785" t="n">
        <v>0</v>
      </c>
      <c r="L785" t="n">
        <v>1</v>
      </c>
      <c r="M785" t="n">
        <v>0</v>
      </c>
    </row>
    <row r="786" spans="1:13">
      <c r="A786" s="1">
        <f>HYPERLINK("http://www.twitter.com/NathanBLawrence/status/996230230883815424", "996230230883815424")</f>
        <v/>
      </c>
      <c r="B786" s="2" t="n">
        <v>43235.14317129629</v>
      </c>
      <c r="C786" t="n">
        <v>0</v>
      </c>
      <c r="D786" t="n">
        <v>4</v>
      </c>
      <c r="E786" t="s">
        <v>797</v>
      </c>
      <c r="F786" t="s"/>
      <c r="G786" t="s"/>
      <c r="H786" t="s"/>
      <c r="I786" t="s"/>
      <c r="J786" t="n">
        <v>0.128</v>
      </c>
      <c r="K786" t="n">
        <v>0.126</v>
      </c>
      <c r="L786" t="n">
        <v>0.719</v>
      </c>
      <c r="M786" t="n">
        <v>0.156</v>
      </c>
    </row>
    <row r="787" spans="1:13">
      <c r="A787" s="1">
        <f>HYPERLINK("http://www.twitter.com/NathanBLawrence/status/996230176986906625", "996230176986906625")</f>
        <v/>
      </c>
      <c r="B787" s="2" t="n">
        <v>43235.14302083333</v>
      </c>
      <c r="C787" t="n">
        <v>3</v>
      </c>
      <c r="D787" t="n">
        <v>3</v>
      </c>
      <c r="E787" t="s">
        <v>798</v>
      </c>
      <c r="F787" t="s"/>
      <c r="G787" t="s"/>
      <c r="H787" t="s"/>
      <c r="I787" t="s"/>
      <c r="J787" t="n">
        <v>0</v>
      </c>
      <c r="K787" t="n">
        <v>0</v>
      </c>
      <c r="L787" t="n">
        <v>1</v>
      </c>
      <c r="M787" t="n">
        <v>0</v>
      </c>
    </row>
    <row r="788" spans="1:13">
      <c r="A788" s="1">
        <f>HYPERLINK("http://www.twitter.com/NathanBLawrence/status/996228702244503552", "996228702244503552")</f>
        <v/>
      </c>
      <c r="B788" s="2" t="n">
        <v>43235.13895833334</v>
      </c>
      <c r="C788" t="n">
        <v>0</v>
      </c>
      <c r="D788" t="n">
        <v>4</v>
      </c>
      <c r="E788" t="s">
        <v>799</v>
      </c>
      <c r="F788" t="s"/>
      <c r="G788" t="s"/>
      <c r="H788" t="s"/>
      <c r="I788" t="s"/>
      <c r="J788" t="n">
        <v>0</v>
      </c>
      <c r="K788" t="n">
        <v>0</v>
      </c>
      <c r="L788" t="n">
        <v>1</v>
      </c>
      <c r="M788" t="n">
        <v>0</v>
      </c>
    </row>
    <row r="789" spans="1:13">
      <c r="A789" s="1">
        <f>HYPERLINK("http://www.twitter.com/NathanBLawrence/status/996228091277017089", "996228091277017089")</f>
        <v/>
      </c>
      <c r="B789" s="2" t="n">
        <v>43235.13726851852</v>
      </c>
      <c r="C789" t="n">
        <v>0</v>
      </c>
      <c r="D789" t="n">
        <v>6</v>
      </c>
      <c r="E789" t="s">
        <v>800</v>
      </c>
      <c r="F789">
        <f>HYPERLINK("http://pbs.twimg.com/media/DdNEXcaV4AAi3Yf.jpg", "http://pbs.twimg.com/media/DdNEXcaV4AAi3Yf.jpg")</f>
        <v/>
      </c>
      <c r="G789" t="s"/>
      <c r="H789" t="s"/>
      <c r="I789" t="s"/>
      <c r="J789" t="n">
        <v>0</v>
      </c>
      <c r="K789" t="n">
        <v>0</v>
      </c>
      <c r="L789" t="n">
        <v>1</v>
      </c>
      <c r="M789" t="n">
        <v>0</v>
      </c>
    </row>
    <row r="790" spans="1:13">
      <c r="A790" s="1">
        <f>HYPERLINK("http://www.twitter.com/NathanBLawrence/status/996227850175897600", "996227850175897600")</f>
        <v/>
      </c>
      <c r="B790" s="2" t="n">
        <v>43235.1366087963</v>
      </c>
      <c r="C790" t="n">
        <v>4</v>
      </c>
      <c r="D790" t="n">
        <v>3</v>
      </c>
      <c r="E790" t="s">
        <v>801</v>
      </c>
      <c r="F790" t="s"/>
      <c r="G790" t="s"/>
      <c r="H790" t="s"/>
      <c r="I790" t="s"/>
      <c r="J790" t="n">
        <v>0.7772</v>
      </c>
      <c r="K790" t="n">
        <v>0.052</v>
      </c>
      <c r="L790" t="n">
        <v>0.71</v>
      </c>
      <c r="M790" t="n">
        <v>0.238</v>
      </c>
    </row>
    <row r="791" spans="1:13">
      <c r="A791" s="1">
        <f>HYPERLINK("http://www.twitter.com/NathanBLawrence/status/996224252343869440", "996224252343869440")</f>
        <v/>
      </c>
      <c r="B791" s="2" t="n">
        <v>43235.12667824074</v>
      </c>
      <c r="C791" t="n">
        <v>0</v>
      </c>
      <c r="D791" t="n">
        <v>6</v>
      </c>
      <c r="E791" t="s">
        <v>802</v>
      </c>
      <c r="F791" t="s"/>
      <c r="G791" t="s"/>
      <c r="H791" t="s"/>
      <c r="I791" t="s"/>
      <c r="J791" t="n">
        <v>0.296</v>
      </c>
      <c r="K791" t="n">
        <v>0.144</v>
      </c>
      <c r="L791" t="n">
        <v>0.638</v>
      </c>
      <c r="M791" t="n">
        <v>0.218</v>
      </c>
    </row>
    <row r="792" spans="1:13">
      <c r="A792" s="1">
        <f>HYPERLINK("http://www.twitter.com/NathanBLawrence/status/996221937721397248", "996221937721397248")</f>
        <v/>
      </c>
      <c r="B792" s="2" t="n">
        <v>43235.12028935185</v>
      </c>
      <c r="C792" t="n">
        <v>0</v>
      </c>
      <c r="D792" t="n">
        <v>3</v>
      </c>
      <c r="E792" t="s">
        <v>803</v>
      </c>
      <c r="F792" t="s"/>
      <c r="G792" t="s"/>
      <c r="H792" t="s"/>
      <c r="I792" t="s"/>
      <c r="J792" t="n">
        <v>0.2584</v>
      </c>
      <c r="K792" t="n">
        <v>0</v>
      </c>
      <c r="L792" t="n">
        <v>0.912</v>
      </c>
      <c r="M792" t="n">
        <v>0.08799999999999999</v>
      </c>
    </row>
    <row r="793" spans="1:13">
      <c r="A793" s="1">
        <f>HYPERLINK("http://www.twitter.com/NathanBLawrence/status/996221911246893056", "996221911246893056")</f>
        <v/>
      </c>
      <c r="B793" s="2" t="n">
        <v>43235.12021990741</v>
      </c>
      <c r="C793" t="n">
        <v>0</v>
      </c>
      <c r="D793" t="n">
        <v>16</v>
      </c>
      <c r="E793" t="s">
        <v>804</v>
      </c>
      <c r="F793" t="s"/>
      <c r="G793" t="s"/>
      <c r="H793" t="s"/>
      <c r="I793" t="s"/>
      <c r="J793" t="n">
        <v>0</v>
      </c>
      <c r="K793" t="n">
        <v>0</v>
      </c>
      <c r="L793" t="n">
        <v>1</v>
      </c>
      <c r="M793" t="n">
        <v>0</v>
      </c>
    </row>
    <row r="794" spans="1:13">
      <c r="A794" s="1">
        <f>HYPERLINK("http://www.twitter.com/NathanBLawrence/status/996219634511626240", "996219634511626240")</f>
        <v/>
      </c>
      <c r="B794" s="2" t="n">
        <v>43235.11393518518</v>
      </c>
      <c r="C794" t="n">
        <v>0</v>
      </c>
      <c r="D794" t="n">
        <v>10</v>
      </c>
      <c r="E794" t="s">
        <v>805</v>
      </c>
      <c r="F794">
        <f>HYPERLINK("http://pbs.twimg.com/media/DdMXphAX4AQ0mJd.jpg", "http://pbs.twimg.com/media/DdMXphAX4AQ0mJd.jpg")</f>
        <v/>
      </c>
      <c r="G794" t="s"/>
      <c r="H794" t="s"/>
      <c r="I794" t="s"/>
      <c r="J794" t="n">
        <v>0.1225</v>
      </c>
      <c r="K794" t="n">
        <v>0.141</v>
      </c>
      <c r="L794" t="n">
        <v>0.699</v>
      </c>
      <c r="M794" t="n">
        <v>0.16</v>
      </c>
    </row>
    <row r="795" spans="1:13">
      <c r="A795" s="1">
        <f>HYPERLINK("http://www.twitter.com/NathanBLawrence/status/996218672078192640", "996218672078192640")</f>
        <v/>
      </c>
      <c r="B795" s="2" t="n">
        <v>43235.11127314815</v>
      </c>
      <c r="C795" t="n">
        <v>0</v>
      </c>
      <c r="D795" t="n">
        <v>2</v>
      </c>
      <c r="E795" t="s">
        <v>806</v>
      </c>
      <c r="F795" t="s"/>
      <c r="G795" t="s"/>
      <c r="H795" t="s"/>
      <c r="I795" t="s"/>
      <c r="J795" t="n">
        <v>0</v>
      </c>
      <c r="K795" t="n">
        <v>0</v>
      </c>
      <c r="L795" t="n">
        <v>1</v>
      </c>
      <c r="M795" t="n">
        <v>0</v>
      </c>
    </row>
    <row r="796" spans="1:13">
      <c r="A796" s="1">
        <f>HYPERLINK("http://www.twitter.com/NathanBLawrence/status/996218639710736384", "996218639710736384")</f>
        <v/>
      </c>
      <c r="B796" s="2" t="n">
        <v>43235.11119212963</v>
      </c>
      <c r="C796" t="n">
        <v>0</v>
      </c>
      <c r="D796" t="n">
        <v>2</v>
      </c>
      <c r="E796" t="s">
        <v>807</v>
      </c>
      <c r="F796">
        <f>HYPERLINK("http://pbs.twimg.com/media/DdMPae8WsAA3Fw2.jpg", "http://pbs.twimg.com/media/DdMPae8WsAA3Fw2.jpg")</f>
        <v/>
      </c>
      <c r="G796" t="s"/>
      <c r="H796" t="s"/>
      <c r="I796" t="s"/>
      <c r="J796" t="n">
        <v>0</v>
      </c>
      <c r="K796" t="n">
        <v>0</v>
      </c>
      <c r="L796" t="n">
        <v>1</v>
      </c>
      <c r="M796" t="n">
        <v>0</v>
      </c>
    </row>
    <row r="797" spans="1:13">
      <c r="A797" s="1">
        <f>HYPERLINK("http://www.twitter.com/NathanBLawrence/status/996215382196109313", "996215382196109313")</f>
        <v/>
      </c>
      <c r="B797" s="2" t="n">
        <v>43235.10219907408</v>
      </c>
      <c r="C797" t="n">
        <v>0</v>
      </c>
      <c r="D797" t="n">
        <v>18</v>
      </c>
      <c r="E797" t="s">
        <v>808</v>
      </c>
      <c r="F797">
        <f>HYPERLINK("http://pbs.twimg.com/media/DdMOkaXWkAAAXgn.jpg", "http://pbs.twimg.com/media/DdMOkaXWkAAAXgn.jpg")</f>
        <v/>
      </c>
      <c r="G797">
        <f>HYPERLINK("http://pbs.twimg.com/media/DdMOk5wWkAE2Duq.jpg", "http://pbs.twimg.com/media/DdMOk5wWkAE2Duq.jpg")</f>
        <v/>
      </c>
      <c r="H797" t="s"/>
      <c r="I797" t="s"/>
      <c r="J797" t="n">
        <v>-0.3447</v>
      </c>
      <c r="K797" t="n">
        <v>0.153</v>
      </c>
      <c r="L797" t="n">
        <v>0.847</v>
      </c>
      <c r="M797" t="n">
        <v>0</v>
      </c>
    </row>
    <row r="798" spans="1:13">
      <c r="A798" s="1">
        <f>HYPERLINK("http://www.twitter.com/NathanBLawrence/status/996144663365992448", "996144663365992448")</f>
        <v/>
      </c>
      <c r="B798" s="2" t="n">
        <v>43234.90704861111</v>
      </c>
      <c r="C798" t="n">
        <v>0</v>
      </c>
      <c r="D798" t="n">
        <v>3</v>
      </c>
      <c r="E798" t="s">
        <v>809</v>
      </c>
      <c r="F798">
        <f>HYPERLINK("http://pbs.twimg.com/media/DdL_1_OXkAAZK42.jpg", "http://pbs.twimg.com/media/DdL_1_OXkAAZK42.jpg")</f>
        <v/>
      </c>
      <c r="G798" t="s"/>
      <c r="H798" t="s"/>
      <c r="I798" t="s"/>
      <c r="J798" t="n">
        <v>0</v>
      </c>
      <c r="K798" t="n">
        <v>0</v>
      </c>
      <c r="L798" t="n">
        <v>1</v>
      </c>
      <c r="M798" t="n">
        <v>0</v>
      </c>
    </row>
    <row r="799" spans="1:13">
      <c r="A799" s="1">
        <f>HYPERLINK("http://www.twitter.com/NathanBLawrence/status/996144370175754242", "996144370175754242")</f>
        <v/>
      </c>
      <c r="B799" s="2" t="n">
        <v>43234.90623842592</v>
      </c>
      <c r="C799" t="n">
        <v>0</v>
      </c>
      <c r="D799" t="n">
        <v>25</v>
      </c>
      <c r="E799" t="s">
        <v>810</v>
      </c>
      <c r="F799">
        <f>HYPERLINK("http://pbs.twimg.com/media/DdL_Qf5WkAAFmlm.jpg", "http://pbs.twimg.com/media/DdL_Qf5WkAAFmlm.jpg")</f>
        <v/>
      </c>
      <c r="G799" t="s"/>
      <c r="H799" t="s"/>
      <c r="I799" t="s"/>
      <c r="J799" t="n">
        <v>-0.4184</v>
      </c>
      <c r="K799" t="n">
        <v>0.108</v>
      </c>
      <c r="L799" t="n">
        <v>0.892</v>
      </c>
      <c r="M799" t="n">
        <v>0</v>
      </c>
    </row>
    <row r="800" spans="1:13">
      <c r="A800" s="1">
        <f>HYPERLINK("http://www.twitter.com/NathanBLawrence/status/996143976506843136", "996143976506843136")</f>
        <v/>
      </c>
      <c r="B800" s="2" t="n">
        <v>43234.90516203704</v>
      </c>
      <c r="C800" t="n">
        <v>1</v>
      </c>
      <c r="D800" t="n">
        <v>1</v>
      </c>
      <c r="E800" t="s">
        <v>811</v>
      </c>
      <c r="F800" t="s"/>
      <c r="G800" t="s"/>
      <c r="H800" t="s"/>
      <c r="I800" t="s"/>
      <c r="J800" t="n">
        <v>0.8070000000000001</v>
      </c>
      <c r="K800" t="n">
        <v>0</v>
      </c>
      <c r="L800" t="n">
        <v>0.832</v>
      </c>
      <c r="M800" t="n">
        <v>0.168</v>
      </c>
    </row>
    <row r="801" spans="1:13">
      <c r="A801" s="1">
        <f>HYPERLINK("http://www.twitter.com/NathanBLawrence/status/996141107871236096", "996141107871236096")</f>
        <v/>
      </c>
      <c r="B801" s="2" t="n">
        <v>43234.89724537037</v>
      </c>
      <c r="C801" t="n">
        <v>0</v>
      </c>
      <c r="D801" t="n">
        <v>4</v>
      </c>
      <c r="E801" t="s">
        <v>812</v>
      </c>
      <c r="F801" t="s"/>
      <c r="G801" t="s"/>
      <c r="H801" t="s"/>
      <c r="I801" t="s"/>
      <c r="J801" t="n">
        <v>-0.7351</v>
      </c>
      <c r="K801" t="n">
        <v>0.311</v>
      </c>
      <c r="L801" t="n">
        <v>0.594</v>
      </c>
      <c r="M801" t="n">
        <v>0.094</v>
      </c>
    </row>
    <row r="802" spans="1:13">
      <c r="A802" s="1">
        <f>HYPERLINK("http://www.twitter.com/NathanBLawrence/status/996140662629138433", "996140662629138433")</f>
        <v/>
      </c>
      <c r="B802" s="2" t="n">
        <v>43234.89601851852</v>
      </c>
      <c r="C802" t="n">
        <v>0</v>
      </c>
      <c r="D802" t="n">
        <v>6</v>
      </c>
      <c r="E802" t="s">
        <v>813</v>
      </c>
      <c r="F802">
        <f>HYPERLINK("https://video.twimg.com/ext_tw_video/996136293829632001/pu/vid/176x144/c-vb1ryDhCHOYCNU.mp4?tag=3", "https://video.twimg.com/ext_tw_video/996136293829632001/pu/vid/176x144/c-vb1ryDhCHOYCNU.mp4?tag=3")</f>
        <v/>
      </c>
      <c r="G802" t="s"/>
      <c r="H802" t="s"/>
      <c r="I802" t="s"/>
      <c r="J802" t="n">
        <v>0</v>
      </c>
      <c r="K802" t="n">
        <v>0</v>
      </c>
      <c r="L802" t="n">
        <v>1</v>
      </c>
      <c r="M802" t="n">
        <v>0</v>
      </c>
    </row>
    <row r="803" spans="1:13">
      <c r="A803" s="1">
        <f>HYPERLINK("http://www.twitter.com/NathanBLawrence/status/996140295551991808", "996140295551991808")</f>
        <v/>
      </c>
      <c r="B803" s="2" t="n">
        <v>43234.895</v>
      </c>
      <c r="C803" t="n">
        <v>0</v>
      </c>
      <c r="D803" t="n">
        <v>4</v>
      </c>
      <c r="E803" t="s">
        <v>814</v>
      </c>
      <c r="F803" t="s"/>
      <c r="G803" t="s"/>
      <c r="H803" t="s"/>
      <c r="I803" t="s"/>
      <c r="J803" t="n">
        <v>0</v>
      </c>
      <c r="K803" t="n">
        <v>0</v>
      </c>
      <c r="L803" t="n">
        <v>1</v>
      </c>
      <c r="M803" t="n">
        <v>0</v>
      </c>
    </row>
    <row r="804" spans="1:13">
      <c r="A804" s="1">
        <f>HYPERLINK("http://www.twitter.com/NathanBLawrence/status/996140184730124288", "996140184730124288")</f>
        <v/>
      </c>
      <c r="B804" s="2" t="n">
        <v>43234.89469907407</v>
      </c>
      <c r="C804" t="n">
        <v>0</v>
      </c>
      <c r="D804" t="n">
        <v>0</v>
      </c>
      <c r="E804" t="s">
        <v>815</v>
      </c>
      <c r="F804">
        <f>HYPERLINK("http://pbs.twimg.com/media/DdL-klUUQAEeyn7.jpg", "http://pbs.twimg.com/media/DdL-klUUQAEeyn7.jpg")</f>
        <v/>
      </c>
      <c r="G804">
        <f>HYPERLINK("http://pbs.twimg.com/media/DdL-lntU0AAzii4.jpg", "http://pbs.twimg.com/media/DdL-lntU0AAzii4.jpg")</f>
        <v/>
      </c>
      <c r="H804">
        <f>HYPERLINK("http://pbs.twimg.com/media/DdL-oPJV4AAN0XH.jpg", "http://pbs.twimg.com/media/DdL-oPJV4AAN0XH.jpg")</f>
        <v/>
      </c>
      <c r="I804">
        <f>HYPERLINK("http://pbs.twimg.com/media/DdL-0L4VwAAYezF.jpg", "http://pbs.twimg.com/media/DdL-0L4VwAAYezF.jpg")</f>
        <v/>
      </c>
      <c r="J804" t="n">
        <v>-0.9286</v>
      </c>
      <c r="K804" t="n">
        <v>0.3</v>
      </c>
      <c r="L804" t="n">
        <v>0.7</v>
      </c>
      <c r="M804" t="n">
        <v>0</v>
      </c>
    </row>
    <row r="805" spans="1:13">
      <c r="A805" s="1">
        <f>HYPERLINK("http://www.twitter.com/NathanBLawrence/status/996136466639081472", "996136466639081472")</f>
        <v/>
      </c>
      <c r="B805" s="2" t="n">
        <v>43234.88443287037</v>
      </c>
      <c r="C805" t="n">
        <v>0</v>
      </c>
      <c r="D805" t="n">
        <v>3</v>
      </c>
      <c r="E805" t="s">
        <v>816</v>
      </c>
      <c r="F805" t="s"/>
      <c r="G805" t="s"/>
      <c r="H805" t="s"/>
      <c r="I805" t="s"/>
      <c r="J805" t="n">
        <v>0.197</v>
      </c>
      <c r="K805" t="n">
        <v>0.07199999999999999</v>
      </c>
      <c r="L805" t="n">
        <v>0.794</v>
      </c>
      <c r="M805" t="n">
        <v>0.134</v>
      </c>
    </row>
    <row r="806" spans="1:13">
      <c r="A806" s="1">
        <f>HYPERLINK("http://www.twitter.com/NathanBLawrence/status/996135949447786496", "996135949447786496")</f>
        <v/>
      </c>
      <c r="B806" s="2" t="n">
        <v>43234.88300925926</v>
      </c>
      <c r="C806" t="n">
        <v>0</v>
      </c>
      <c r="D806" t="n">
        <v>4</v>
      </c>
      <c r="E806" t="s">
        <v>817</v>
      </c>
      <c r="F806" t="s"/>
      <c r="G806" t="s"/>
      <c r="H806" t="s"/>
      <c r="I806" t="s"/>
      <c r="J806" t="n">
        <v>-0.296</v>
      </c>
      <c r="K806" t="n">
        <v>0.095</v>
      </c>
      <c r="L806" t="n">
        <v>0.905</v>
      </c>
      <c r="M806" t="n">
        <v>0</v>
      </c>
    </row>
    <row r="807" spans="1:13">
      <c r="A807" s="1">
        <f>HYPERLINK("http://www.twitter.com/NathanBLawrence/status/996134920840859649", "996134920840859649")</f>
        <v/>
      </c>
      <c r="B807" s="2" t="n">
        <v>43234.88017361111</v>
      </c>
      <c r="C807" t="n">
        <v>0</v>
      </c>
      <c r="D807" t="n">
        <v>4</v>
      </c>
      <c r="E807" t="s">
        <v>818</v>
      </c>
      <c r="F807" t="s"/>
      <c r="G807" t="s"/>
      <c r="H807" t="s"/>
      <c r="I807" t="s"/>
      <c r="J807" t="n">
        <v>-0.7096</v>
      </c>
      <c r="K807" t="n">
        <v>0.216</v>
      </c>
      <c r="L807" t="n">
        <v>0.742</v>
      </c>
      <c r="M807" t="n">
        <v>0.042</v>
      </c>
    </row>
    <row r="808" spans="1:13">
      <c r="A808" s="1">
        <f>HYPERLINK("http://www.twitter.com/NathanBLawrence/status/996134689290137600", "996134689290137600")</f>
        <v/>
      </c>
      <c r="B808" s="2" t="n">
        <v>43234.87952546297</v>
      </c>
      <c r="C808" t="n">
        <v>0</v>
      </c>
      <c r="D808" t="n">
        <v>6</v>
      </c>
      <c r="E808" t="s">
        <v>819</v>
      </c>
      <c r="F808" t="s"/>
      <c r="G808" t="s"/>
      <c r="H808" t="s"/>
      <c r="I808" t="s"/>
      <c r="J808" t="n">
        <v>0</v>
      </c>
      <c r="K808" t="n">
        <v>0</v>
      </c>
      <c r="L808" t="n">
        <v>1</v>
      </c>
      <c r="M808" t="n">
        <v>0</v>
      </c>
    </row>
    <row r="809" spans="1:13">
      <c r="A809" s="1">
        <f>HYPERLINK("http://www.twitter.com/NathanBLawrence/status/996134616879710208", "996134616879710208")</f>
        <v/>
      </c>
      <c r="B809" s="2" t="n">
        <v>43234.8793287037</v>
      </c>
      <c r="C809" t="n">
        <v>0</v>
      </c>
      <c r="D809" t="n">
        <v>5</v>
      </c>
      <c r="E809" t="s">
        <v>820</v>
      </c>
      <c r="F809" t="s"/>
      <c r="G809" t="s"/>
      <c r="H809" t="s"/>
      <c r="I809" t="s"/>
      <c r="J809" t="n">
        <v>-0.6486</v>
      </c>
      <c r="K809" t="n">
        <v>0.181</v>
      </c>
      <c r="L809" t="n">
        <v>0.819</v>
      </c>
      <c r="M809" t="n">
        <v>0</v>
      </c>
    </row>
    <row r="810" spans="1:13">
      <c r="A810" s="1">
        <f>HYPERLINK("http://www.twitter.com/NathanBLawrence/status/996134405092458496", "996134405092458496")</f>
        <v/>
      </c>
      <c r="B810" s="2" t="n">
        <v>43234.87875</v>
      </c>
      <c r="C810" t="n">
        <v>0</v>
      </c>
      <c r="D810" t="n">
        <v>9</v>
      </c>
      <c r="E810" t="s">
        <v>821</v>
      </c>
      <c r="F810">
        <f>HYPERLINK("http://pbs.twimg.com/media/DdL51LtXUAIcIlQ.jpg", "http://pbs.twimg.com/media/DdL51LtXUAIcIlQ.jpg")</f>
        <v/>
      </c>
      <c r="G810" t="s"/>
      <c r="H810" t="s"/>
      <c r="I810" t="s"/>
      <c r="J810" t="n">
        <v>-0.4588</v>
      </c>
      <c r="K810" t="n">
        <v>0.13</v>
      </c>
      <c r="L810" t="n">
        <v>0.87</v>
      </c>
      <c r="M810" t="n">
        <v>0</v>
      </c>
    </row>
    <row r="811" spans="1:13">
      <c r="A811" s="1">
        <f>HYPERLINK("http://www.twitter.com/NathanBLawrence/status/996134026795565056", "996134026795565056")</f>
        <v/>
      </c>
      <c r="B811" s="2" t="n">
        <v>43234.87769675926</v>
      </c>
      <c r="C811" t="n">
        <v>0</v>
      </c>
      <c r="D811" t="n">
        <v>16</v>
      </c>
      <c r="E811" t="s">
        <v>822</v>
      </c>
      <c r="F811">
        <f>HYPERLINK("http://pbs.twimg.com/media/DdL3TSfXkAI5rYv.jpg", "http://pbs.twimg.com/media/DdL3TSfXkAI5rYv.jpg")</f>
        <v/>
      </c>
      <c r="G811" t="s"/>
      <c r="H811" t="s"/>
      <c r="I811" t="s"/>
      <c r="J811" t="n">
        <v>0.6124000000000001</v>
      </c>
      <c r="K811" t="n">
        <v>0</v>
      </c>
      <c r="L811" t="n">
        <v>0.8</v>
      </c>
      <c r="M811" t="n">
        <v>0.2</v>
      </c>
    </row>
    <row r="812" spans="1:13">
      <c r="A812" s="1">
        <f>HYPERLINK("http://www.twitter.com/NathanBLawrence/status/996133801326559233", "996133801326559233")</f>
        <v/>
      </c>
      <c r="B812" s="2" t="n">
        <v>43234.87708333333</v>
      </c>
      <c r="C812" t="n">
        <v>0</v>
      </c>
      <c r="D812" t="n">
        <v>10</v>
      </c>
      <c r="E812" t="s">
        <v>823</v>
      </c>
      <c r="F812">
        <f>HYPERLINK("http://pbs.twimg.com/media/DdLp_MKX0AEVmKU.jpg", "http://pbs.twimg.com/media/DdLp_MKX0AEVmKU.jpg")</f>
        <v/>
      </c>
      <c r="G812" t="s"/>
      <c r="H812" t="s"/>
      <c r="I812" t="s"/>
      <c r="J812" t="n">
        <v>0</v>
      </c>
      <c r="K812" t="n">
        <v>0</v>
      </c>
      <c r="L812" t="n">
        <v>1</v>
      </c>
      <c r="M812" t="n">
        <v>0</v>
      </c>
    </row>
    <row r="813" spans="1:13">
      <c r="A813" s="1">
        <f>HYPERLINK("http://www.twitter.com/NathanBLawrence/status/996133617695797248", "996133617695797248")</f>
        <v/>
      </c>
      <c r="B813" s="2" t="n">
        <v>43234.87657407407</v>
      </c>
      <c r="C813" t="n">
        <v>0</v>
      </c>
      <c r="D813" t="n">
        <v>0</v>
      </c>
      <c r="E813" t="s">
        <v>824</v>
      </c>
      <c r="F813" t="s"/>
      <c r="G813" t="s"/>
      <c r="H813" t="s"/>
      <c r="I813" t="s"/>
      <c r="J813" t="n">
        <v>-0.5242</v>
      </c>
      <c r="K813" t="n">
        <v>0.297</v>
      </c>
      <c r="L813" t="n">
        <v>0.703</v>
      </c>
      <c r="M813" t="n">
        <v>0</v>
      </c>
    </row>
    <row r="814" spans="1:13">
      <c r="A814" s="1">
        <f>HYPERLINK("http://www.twitter.com/NathanBLawrence/status/996133136080584704", "996133136080584704")</f>
        <v/>
      </c>
      <c r="B814" s="2" t="n">
        <v>43234.87524305555</v>
      </c>
      <c r="C814" t="n">
        <v>1</v>
      </c>
      <c r="D814" t="n">
        <v>1</v>
      </c>
      <c r="E814" t="s">
        <v>825</v>
      </c>
      <c r="F814" t="s"/>
      <c r="G814" t="s"/>
      <c r="H814" t="s"/>
      <c r="I814" t="s"/>
      <c r="J814" t="n">
        <v>0</v>
      </c>
      <c r="K814" t="n">
        <v>0</v>
      </c>
      <c r="L814" t="n">
        <v>1</v>
      </c>
      <c r="M814" t="n">
        <v>0</v>
      </c>
    </row>
    <row r="815" spans="1:13">
      <c r="A815" s="1">
        <f>HYPERLINK("http://www.twitter.com/NathanBLawrence/status/996132026351681536", "996132026351681536")</f>
        <v/>
      </c>
      <c r="B815" s="2" t="n">
        <v>43234.87217592593</v>
      </c>
      <c r="C815" t="n">
        <v>0</v>
      </c>
      <c r="D815" t="n">
        <v>6</v>
      </c>
      <c r="E815" t="s">
        <v>826</v>
      </c>
      <c r="F815" t="s"/>
      <c r="G815" t="s"/>
      <c r="H815" t="s"/>
      <c r="I815" t="s"/>
      <c r="J815" t="n">
        <v>0</v>
      </c>
      <c r="K815" t="n">
        <v>0</v>
      </c>
      <c r="L815" t="n">
        <v>1</v>
      </c>
      <c r="M815" t="n">
        <v>0</v>
      </c>
    </row>
    <row r="816" spans="1:13">
      <c r="A816" s="1">
        <f>HYPERLINK("http://www.twitter.com/NathanBLawrence/status/996131760416079873", "996131760416079873")</f>
        <v/>
      </c>
      <c r="B816" s="2" t="n">
        <v>43234.87144675926</v>
      </c>
      <c r="C816" t="n">
        <v>0</v>
      </c>
      <c r="D816" t="n">
        <v>12</v>
      </c>
      <c r="E816" t="s">
        <v>827</v>
      </c>
      <c r="F816" t="s"/>
      <c r="G816" t="s"/>
      <c r="H816" t="s"/>
      <c r="I816" t="s"/>
      <c r="J816" t="n">
        <v>-0.6249</v>
      </c>
      <c r="K816" t="n">
        <v>0.178</v>
      </c>
      <c r="L816" t="n">
        <v>0.769</v>
      </c>
      <c r="M816" t="n">
        <v>0.053</v>
      </c>
    </row>
    <row r="817" spans="1:13">
      <c r="A817" s="1">
        <f>HYPERLINK("http://www.twitter.com/NathanBLawrence/status/996131663582130176", "996131663582130176")</f>
        <v/>
      </c>
      <c r="B817" s="2" t="n">
        <v>43234.87118055556</v>
      </c>
      <c r="C817" t="n">
        <v>0</v>
      </c>
      <c r="D817" t="n">
        <v>3</v>
      </c>
      <c r="E817" t="s">
        <v>828</v>
      </c>
      <c r="F817" t="s"/>
      <c r="G817" t="s"/>
      <c r="H817" t="s"/>
      <c r="I817" t="s"/>
      <c r="J817" t="n">
        <v>0</v>
      </c>
      <c r="K817" t="n">
        <v>0</v>
      </c>
      <c r="L817" t="n">
        <v>1</v>
      </c>
      <c r="M817" t="n">
        <v>0</v>
      </c>
    </row>
    <row r="818" spans="1:13">
      <c r="A818" s="1">
        <f>HYPERLINK("http://www.twitter.com/NathanBLawrence/status/996131487769509888", "996131487769509888")</f>
        <v/>
      </c>
      <c r="B818" s="2" t="n">
        <v>43234.87069444444</v>
      </c>
      <c r="C818" t="n">
        <v>0</v>
      </c>
      <c r="D818" t="n">
        <v>1</v>
      </c>
      <c r="E818" t="s">
        <v>829</v>
      </c>
      <c r="F818" t="s"/>
      <c r="G818" t="s"/>
      <c r="H818" t="s"/>
      <c r="I818" t="s"/>
      <c r="J818" t="n">
        <v>-0.9274</v>
      </c>
      <c r="K818" t="n">
        <v>0.417</v>
      </c>
      <c r="L818" t="n">
        <v>0.583</v>
      </c>
      <c r="M818" t="n">
        <v>0</v>
      </c>
    </row>
    <row r="819" spans="1:13">
      <c r="A819" s="1">
        <f>HYPERLINK("http://www.twitter.com/NathanBLawrence/status/996131391015239681", "996131391015239681")</f>
        <v/>
      </c>
      <c r="B819" s="2" t="n">
        <v>43234.87042824074</v>
      </c>
      <c r="C819" t="n">
        <v>0</v>
      </c>
      <c r="D819" t="n">
        <v>0</v>
      </c>
      <c r="E819" t="s">
        <v>830</v>
      </c>
      <c r="F819" t="s"/>
      <c r="G819" t="s"/>
      <c r="H819" t="s"/>
      <c r="I819" t="s"/>
      <c r="J819" t="n">
        <v>-0.8472</v>
      </c>
      <c r="K819" t="n">
        <v>0.245</v>
      </c>
      <c r="L819" t="n">
        <v>0.678</v>
      </c>
      <c r="M819" t="n">
        <v>0.077</v>
      </c>
    </row>
    <row r="820" spans="1:13">
      <c r="A820" s="1">
        <f>HYPERLINK("http://www.twitter.com/NathanBLawrence/status/996129552609914880", "996129552609914880")</f>
        <v/>
      </c>
      <c r="B820" s="2" t="n">
        <v>43234.8653587963</v>
      </c>
      <c r="C820" t="n">
        <v>2</v>
      </c>
      <c r="D820" t="n">
        <v>1</v>
      </c>
      <c r="E820" t="s">
        <v>831</v>
      </c>
      <c r="F820" t="s"/>
      <c r="G820" t="s"/>
      <c r="H820" t="s"/>
      <c r="I820" t="s"/>
      <c r="J820" t="n">
        <v>-0.4824</v>
      </c>
      <c r="K820" t="n">
        <v>0.135</v>
      </c>
      <c r="L820" t="n">
        <v>0.798</v>
      </c>
      <c r="M820" t="n">
        <v>0.067</v>
      </c>
    </row>
    <row r="821" spans="1:13">
      <c r="A821" s="1">
        <f>HYPERLINK("http://www.twitter.com/NathanBLawrence/status/996128302866743296", "996128302866743296")</f>
        <v/>
      </c>
      <c r="B821" s="2" t="n">
        <v>43234.86190972223</v>
      </c>
      <c r="C821" t="n">
        <v>0</v>
      </c>
      <c r="D821" t="n">
        <v>14</v>
      </c>
      <c r="E821" t="s">
        <v>832</v>
      </c>
      <c r="F821" t="s"/>
      <c r="G821" t="s"/>
      <c r="H821" t="s"/>
      <c r="I821" t="s"/>
      <c r="J821" t="n">
        <v>0.0772</v>
      </c>
      <c r="K821" t="n">
        <v>0</v>
      </c>
      <c r="L821" t="n">
        <v>0.949</v>
      </c>
      <c r="M821" t="n">
        <v>0.051</v>
      </c>
    </row>
    <row r="822" spans="1:13">
      <c r="A822" s="1">
        <f>HYPERLINK("http://www.twitter.com/NathanBLawrence/status/996128229692882945", "996128229692882945")</f>
        <v/>
      </c>
      <c r="B822" s="2" t="n">
        <v>43234.86170138889</v>
      </c>
      <c r="C822" t="n">
        <v>4</v>
      </c>
      <c r="D822" t="n">
        <v>4</v>
      </c>
      <c r="E822" t="s">
        <v>833</v>
      </c>
      <c r="F822" t="s"/>
      <c r="G822" t="s"/>
      <c r="H822" t="s"/>
      <c r="I822" t="s"/>
      <c r="J822" t="n">
        <v>-0.296</v>
      </c>
      <c r="K822" t="n">
        <v>0.239</v>
      </c>
      <c r="L822" t="n">
        <v>0.761</v>
      </c>
      <c r="M822" t="n">
        <v>0</v>
      </c>
    </row>
    <row r="823" spans="1:13">
      <c r="A823" s="1">
        <f>HYPERLINK("http://www.twitter.com/NathanBLawrence/status/996127965598564355", "996127965598564355")</f>
        <v/>
      </c>
      <c r="B823" s="2" t="n">
        <v>43234.86097222222</v>
      </c>
      <c r="C823" t="n">
        <v>0</v>
      </c>
      <c r="D823" t="n">
        <v>22</v>
      </c>
      <c r="E823" t="s">
        <v>834</v>
      </c>
      <c r="F823" t="s"/>
      <c r="G823" t="s"/>
      <c r="H823" t="s"/>
      <c r="I823" t="s"/>
      <c r="J823" t="n">
        <v>0.5859</v>
      </c>
      <c r="K823" t="n">
        <v>0</v>
      </c>
      <c r="L823" t="n">
        <v>0.821</v>
      </c>
      <c r="M823" t="n">
        <v>0.179</v>
      </c>
    </row>
    <row r="824" spans="1:13">
      <c r="A824" s="1">
        <f>HYPERLINK("http://www.twitter.com/NathanBLawrence/status/996127716234510339", "996127716234510339")</f>
        <v/>
      </c>
      <c r="B824" s="2" t="n">
        <v>43234.86028935185</v>
      </c>
      <c r="C824" t="n">
        <v>0</v>
      </c>
      <c r="D824" t="n">
        <v>12</v>
      </c>
      <c r="E824" t="s">
        <v>835</v>
      </c>
      <c r="F824">
        <f>HYPERLINK("http://pbs.twimg.com/media/DdLMleGVMAANN6D.jpg", "http://pbs.twimg.com/media/DdLMleGVMAANN6D.jpg")</f>
        <v/>
      </c>
      <c r="G824" t="s"/>
      <c r="H824" t="s"/>
      <c r="I824" t="s"/>
      <c r="J824" t="n">
        <v>0</v>
      </c>
      <c r="K824" t="n">
        <v>0</v>
      </c>
      <c r="L824" t="n">
        <v>1</v>
      </c>
      <c r="M824" t="n">
        <v>0</v>
      </c>
    </row>
    <row r="825" spans="1:13">
      <c r="A825" s="1">
        <f>HYPERLINK("http://www.twitter.com/NathanBLawrence/status/996127639604576259", "996127639604576259")</f>
        <v/>
      </c>
      <c r="B825" s="2" t="n">
        <v>43234.86008101852</v>
      </c>
      <c r="C825" t="n">
        <v>0</v>
      </c>
      <c r="D825" t="n">
        <v>55</v>
      </c>
      <c r="E825" t="s">
        <v>836</v>
      </c>
      <c r="F825" t="s"/>
      <c r="G825" t="s"/>
      <c r="H825" t="s"/>
      <c r="I825" t="s"/>
      <c r="J825" t="n">
        <v>0</v>
      </c>
      <c r="K825" t="n">
        <v>0</v>
      </c>
      <c r="L825" t="n">
        <v>1</v>
      </c>
      <c r="M825" t="n">
        <v>0</v>
      </c>
    </row>
    <row r="826" spans="1:13">
      <c r="A826" s="1">
        <f>HYPERLINK("http://www.twitter.com/NathanBLawrence/status/996127398323081217", "996127398323081217")</f>
        <v/>
      </c>
      <c r="B826" s="2" t="n">
        <v>43234.85940972222</v>
      </c>
      <c r="C826" t="n">
        <v>1</v>
      </c>
      <c r="D826" t="n">
        <v>0</v>
      </c>
      <c r="E826" t="s">
        <v>837</v>
      </c>
      <c r="F826" t="s"/>
      <c r="G826" t="s"/>
      <c r="H826" t="s"/>
      <c r="I826" t="s"/>
      <c r="J826" t="n">
        <v>0</v>
      </c>
      <c r="K826" t="n">
        <v>0</v>
      </c>
      <c r="L826" t="n">
        <v>1</v>
      </c>
      <c r="M826" t="n">
        <v>0</v>
      </c>
    </row>
    <row r="827" spans="1:13">
      <c r="A827" s="1">
        <f>HYPERLINK("http://www.twitter.com/NathanBLawrence/status/996125374131060737", "996125374131060737")</f>
        <v/>
      </c>
      <c r="B827" s="2" t="n">
        <v>43234.85381944444</v>
      </c>
      <c r="C827" t="n">
        <v>0</v>
      </c>
      <c r="D827" t="n">
        <v>16</v>
      </c>
      <c r="E827" t="s">
        <v>838</v>
      </c>
      <c r="F827" t="s"/>
      <c r="G827" t="s"/>
      <c r="H827" t="s"/>
      <c r="I827" t="s"/>
      <c r="J827" t="n">
        <v>0.128</v>
      </c>
      <c r="K827" t="n">
        <v>0.089</v>
      </c>
      <c r="L827" t="n">
        <v>0.802</v>
      </c>
      <c r="M827" t="n">
        <v>0.11</v>
      </c>
    </row>
    <row r="828" spans="1:13">
      <c r="A828" s="1">
        <f>HYPERLINK("http://www.twitter.com/NathanBLawrence/status/996125328329199616", "996125328329199616")</f>
        <v/>
      </c>
      <c r="B828" s="2" t="n">
        <v>43234.8537037037</v>
      </c>
      <c r="C828" t="n">
        <v>0</v>
      </c>
      <c r="D828" t="n">
        <v>3</v>
      </c>
      <c r="E828" t="s">
        <v>839</v>
      </c>
      <c r="F828" t="s"/>
      <c r="G828" t="s"/>
      <c r="H828" t="s"/>
      <c r="I828" t="s"/>
      <c r="J828" t="n">
        <v>0.4019</v>
      </c>
      <c r="K828" t="n">
        <v>0</v>
      </c>
      <c r="L828" t="n">
        <v>0.847</v>
      </c>
      <c r="M828" t="n">
        <v>0.153</v>
      </c>
    </row>
    <row r="829" spans="1:13">
      <c r="A829" s="1">
        <f>HYPERLINK("http://www.twitter.com/NathanBLawrence/status/996125033251532800", "996125033251532800")</f>
        <v/>
      </c>
      <c r="B829" s="2" t="n">
        <v>43234.85288194445</v>
      </c>
      <c r="C829" t="n">
        <v>0</v>
      </c>
      <c r="D829" t="n">
        <v>18</v>
      </c>
      <c r="E829" t="s">
        <v>840</v>
      </c>
      <c r="F829" t="s"/>
      <c r="G829" t="s"/>
      <c r="H829" t="s"/>
      <c r="I829" t="s"/>
      <c r="J829" t="n">
        <v>-0.4019</v>
      </c>
      <c r="K829" t="n">
        <v>0.262</v>
      </c>
      <c r="L829" t="n">
        <v>0.5610000000000001</v>
      </c>
      <c r="M829" t="n">
        <v>0.178</v>
      </c>
    </row>
    <row r="830" spans="1:13">
      <c r="A830" s="1">
        <f>HYPERLINK("http://www.twitter.com/NathanBLawrence/status/996124780225941504", "996124780225941504")</f>
        <v/>
      </c>
      <c r="B830" s="2" t="n">
        <v>43234.8521875</v>
      </c>
      <c r="C830" t="n">
        <v>0</v>
      </c>
      <c r="D830" t="n">
        <v>13</v>
      </c>
      <c r="E830" t="s">
        <v>841</v>
      </c>
      <c r="F830">
        <f>HYPERLINK("http://pbs.twimg.com/media/DdCHdYmXkAA-ydw.jpg", "http://pbs.twimg.com/media/DdCHdYmXkAA-ydw.jpg")</f>
        <v/>
      </c>
      <c r="G830" t="s"/>
      <c r="H830" t="s"/>
      <c r="I830" t="s"/>
      <c r="J830" t="n">
        <v>0.5319</v>
      </c>
      <c r="K830" t="n">
        <v>0</v>
      </c>
      <c r="L830" t="n">
        <v>0.879</v>
      </c>
      <c r="M830" t="n">
        <v>0.121</v>
      </c>
    </row>
    <row r="831" spans="1:13">
      <c r="A831" s="1">
        <f>HYPERLINK("http://www.twitter.com/NathanBLawrence/status/996124023753883648", "996124023753883648")</f>
        <v/>
      </c>
      <c r="B831" s="2" t="n">
        <v>43234.85010416667</v>
      </c>
      <c r="C831" t="n">
        <v>1</v>
      </c>
      <c r="D831" t="n">
        <v>1</v>
      </c>
      <c r="E831" t="s">
        <v>842</v>
      </c>
      <c r="F831" t="s"/>
      <c r="G831" t="s"/>
      <c r="H831" t="s"/>
      <c r="I831" t="s"/>
      <c r="J831" t="n">
        <v>-0.5319</v>
      </c>
      <c r="K831" t="n">
        <v>0.124</v>
      </c>
      <c r="L831" t="n">
        <v>0.823</v>
      </c>
      <c r="M831" t="n">
        <v>0.053</v>
      </c>
    </row>
    <row r="832" spans="1:13">
      <c r="A832" s="1">
        <f>HYPERLINK("http://www.twitter.com/NathanBLawrence/status/996122697015873536", "996122697015873536")</f>
        <v/>
      </c>
      <c r="B832" s="2" t="n">
        <v>43234.84643518519</v>
      </c>
      <c r="C832" t="n">
        <v>0</v>
      </c>
      <c r="D832" t="n">
        <v>2</v>
      </c>
      <c r="E832" t="s">
        <v>843</v>
      </c>
      <c r="F832" t="s"/>
      <c r="G832" t="s"/>
      <c r="H832" t="s"/>
      <c r="I832" t="s"/>
      <c r="J832" t="n">
        <v>0</v>
      </c>
      <c r="K832" t="n">
        <v>0</v>
      </c>
      <c r="L832" t="n">
        <v>1</v>
      </c>
      <c r="M832" t="n">
        <v>0</v>
      </c>
    </row>
    <row r="833" spans="1:13">
      <c r="A833" s="1">
        <f>HYPERLINK("http://www.twitter.com/NathanBLawrence/status/996122670931492864", "996122670931492864")</f>
        <v/>
      </c>
      <c r="B833" s="2" t="n">
        <v>43234.84636574074</v>
      </c>
      <c r="C833" t="n">
        <v>0</v>
      </c>
      <c r="D833" t="n">
        <v>2</v>
      </c>
      <c r="E833" t="s">
        <v>844</v>
      </c>
      <c r="F833">
        <f>HYPERLINK("http://pbs.twimg.com/media/DdLUDjSXcAAJhaG.jpg", "http://pbs.twimg.com/media/DdLUDjSXcAAJhaG.jpg")</f>
        <v/>
      </c>
      <c r="G833" t="s"/>
      <c r="H833" t="s"/>
      <c r="I833" t="s"/>
      <c r="J833" t="n">
        <v>0.4588</v>
      </c>
      <c r="K833" t="n">
        <v>0</v>
      </c>
      <c r="L833" t="n">
        <v>0.789</v>
      </c>
      <c r="M833" t="n">
        <v>0.211</v>
      </c>
    </row>
    <row r="834" spans="1:13">
      <c r="A834" s="1">
        <f>HYPERLINK("http://www.twitter.com/NathanBLawrence/status/996122535879045120", "996122535879045120")</f>
        <v/>
      </c>
      <c r="B834" s="2" t="n">
        <v>43234.84599537037</v>
      </c>
      <c r="C834" t="n">
        <v>0</v>
      </c>
      <c r="D834" t="n">
        <v>22</v>
      </c>
      <c r="E834" t="s">
        <v>845</v>
      </c>
      <c r="F834" t="s"/>
      <c r="G834" t="s"/>
      <c r="H834" t="s"/>
      <c r="I834" t="s"/>
      <c r="J834" t="n">
        <v>0.2481</v>
      </c>
      <c r="K834" t="n">
        <v>0.096</v>
      </c>
      <c r="L834" t="n">
        <v>0.731</v>
      </c>
      <c r="M834" t="n">
        <v>0.173</v>
      </c>
    </row>
    <row r="835" spans="1:13">
      <c r="A835" s="1">
        <f>HYPERLINK("http://www.twitter.com/NathanBLawrence/status/996122247780646912", "996122247780646912")</f>
        <v/>
      </c>
      <c r="B835" s="2" t="n">
        <v>43234.84519675926</v>
      </c>
      <c r="C835" t="n">
        <v>1</v>
      </c>
      <c r="D835" t="n">
        <v>1</v>
      </c>
      <c r="E835" t="s">
        <v>846</v>
      </c>
      <c r="F835" t="s"/>
      <c r="G835" t="s"/>
      <c r="H835" t="s"/>
      <c r="I835" t="s"/>
      <c r="J835" t="n">
        <v>0</v>
      </c>
      <c r="K835" t="n">
        <v>0</v>
      </c>
      <c r="L835" t="n">
        <v>1</v>
      </c>
      <c r="M835" t="n">
        <v>0</v>
      </c>
    </row>
    <row r="836" spans="1:13">
      <c r="A836" s="1">
        <f>HYPERLINK("http://www.twitter.com/NathanBLawrence/status/996121462959304704", "996121462959304704")</f>
        <v/>
      </c>
      <c r="B836" s="2" t="n">
        <v>43234.84303240741</v>
      </c>
      <c r="C836" t="n">
        <v>0</v>
      </c>
      <c r="D836" t="n">
        <v>3</v>
      </c>
      <c r="E836" t="s">
        <v>847</v>
      </c>
      <c r="F836" t="s"/>
      <c r="G836" t="s"/>
      <c r="H836" t="s"/>
      <c r="I836" t="s"/>
      <c r="J836" t="n">
        <v>0</v>
      </c>
      <c r="K836" t="n">
        <v>0</v>
      </c>
      <c r="L836" t="n">
        <v>1</v>
      </c>
      <c r="M836" t="n">
        <v>0</v>
      </c>
    </row>
    <row r="837" spans="1:13">
      <c r="A837" s="1">
        <f>HYPERLINK("http://www.twitter.com/NathanBLawrence/status/996118408746827776", "996118408746827776")</f>
        <v/>
      </c>
      <c r="B837" s="2" t="n">
        <v>43234.83460648148</v>
      </c>
      <c r="C837" t="n">
        <v>0</v>
      </c>
      <c r="D837" t="n">
        <v>14</v>
      </c>
      <c r="E837" t="s">
        <v>848</v>
      </c>
      <c r="F837" t="s"/>
      <c r="G837" t="s"/>
      <c r="H837" t="s"/>
      <c r="I837" t="s"/>
      <c r="J837" t="n">
        <v>-0.296</v>
      </c>
      <c r="K837" t="n">
        <v>0.095</v>
      </c>
      <c r="L837" t="n">
        <v>0.905</v>
      </c>
      <c r="M837" t="n">
        <v>0</v>
      </c>
    </row>
    <row r="838" spans="1:13">
      <c r="A838" s="1">
        <f>HYPERLINK("http://www.twitter.com/NathanBLawrence/status/996118311996768257", "996118311996768257")</f>
        <v/>
      </c>
      <c r="B838" s="2" t="n">
        <v>43234.83434027778</v>
      </c>
      <c r="C838" t="n">
        <v>0</v>
      </c>
      <c r="D838" t="n">
        <v>11</v>
      </c>
      <c r="E838" t="s">
        <v>849</v>
      </c>
      <c r="F838" t="s"/>
      <c r="G838" t="s"/>
      <c r="H838" t="s"/>
      <c r="I838" t="s"/>
      <c r="J838" t="n">
        <v>-0.8221000000000001</v>
      </c>
      <c r="K838" t="n">
        <v>0.348</v>
      </c>
      <c r="L838" t="n">
        <v>0.652</v>
      </c>
      <c r="M838" t="n">
        <v>0</v>
      </c>
    </row>
    <row r="839" spans="1:13">
      <c r="A839" s="1">
        <f>HYPERLINK("http://www.twitter.com/NathanBLawrence/status/996115288302108673", "996115288302108673")</f>
        <v/>
      </c>
      <c r="B839" s="2" t="n">
        <v>43234.82599537037</v>
      </c>
      <c r="C839" t="n">
        <v>0</v>
      </c>
      <c r="D839" t="n">
        <v>3</v>
      </c>
      <c r="E839" t="s">
        <v>850</v>
      </c>
      <c r="F839" t="s"/>
      <c r="G839" t="s"/>
      <c r="H839" t="s"/>
      <c r="I839" t="s"/>
      <c r="J839" t="n">
        <v>0</v>
      </c>
      <c r="K839" t="n">
        <v>0</v>
      </c>
      <c r="L839" t="n">
        <v>1</v>
      </c>
      <c r="M839" t="n">
        <v>0</v>
      </c>
    </row>
    <row r="840" spans="1:13">
      <c r="A840" s="1">
        <f>HYPERLINK("http://www.twitter.com/NathanBLawrence/status/996115259730546688", "996115259730546688")</f>
        <v/>
      </c>
      <c r="B840" s="2" t="n">
        <v>43234.82591435185</v>
      </c>
      <c r="C840" t="n">
        <v>0</v>
      </c>
      <c r="D840" t="n">
        <v>6</v>
      </c>
      <c r="E840" t="s">
        <v>851</v>
      </c>
      <c r="F840">
        <f>HYPERLINK("http://pbs.twimg.com/media/DdLdFccXcAERwtO.jpg", "http://pbs.twimg.com/media/DdLdFccXcAERwtO.jpg")</f>
        <v/>
      </c>
      <c r="G840" t="s"/>
      <c r="H840" t="s"/>
      <c r="I840" t="s"/>
      <c r="J840" t="n">
        <v>0</v>
      </c>
      <c r="K840" t="n">
        <v>0</v>
      </c>
      <c r="L840" t="n">
        <v>1</v>
      </c>
      <c r="M840" t="n">
        <v>0</v>
      </c>
    </row>
    <row r="841" spans="1:13">
      <c r="A841" s="1">
        <f>HYPERLINK("http://www.twitter.com/NathanBLawrence/status/996115195062767617", "996115195062767617")</f>
        <v/>
      </c>
      <c r="B841" s="2" t="n">
        <v>43234.82574074074</v>
      </c>
      <c r="C841" t="n">
        <v>0</v>
      </c>
      <c r="D841" t="n">
        <v>5</v>
      </c>
      <c r="E841" t="s">
        <v>852</v>
      </c>
      <c r="F841" t="s"/>
      <c r="G841" t="s"/>
      <c r="H841" t="s"/>
      <c r="I841" t="s"/>
      <c r="J841" t="n">
        <v>0</v>
      </c>
      <c r="K841" t="n">
        <v>0</v>
      </c>
      <c r="L841" t="n">
        <v>1</v>
      </c>
      <c r="M841" t="n">
        <v>0</v>
      </c>
    </row>
    <row r="842" spans="1:13">
      <c r="A842" s="1">
        <f>HYPERLINK("http://www.twitter.com/NathanBLawrence/status/996054918589902848", "996054918589902848")</f>
        <v/>
      </c>
      <c r="B842" s="2" t="n">
        <v>43234.65940972222</v>
      </c>
      <c r="C842" t="n">
        <v>4</v>
      </c>
      <c r="D842" t="n">
        <v>2</v>
      </c>
      <c r="E842" t="s">
        <v>853</v>
      </c>
      <c r="F842" t="s"/>
      <c r="G842" t="s"/>
      <c r="H842" t="s"/>
      <c r="I842" t="s"/>
      <c r="J842" t="n">
        <v>-0.7003</v>
      </c>
      <c r="K842" t="n">
        <v>0.256</v>
      </c>
      <c r="L842" t="n">
        <v>0.584</v>
      </c>
      <c r="M842" t="n">
        <v>0.16</v>
      </c>
    </row>
    <row r="843" spans="1:13">
      <c r="A843" s="1">
        <f>HYPERLINK("http://www.twitter.com/NathanBLawrence/status/996051593148547077", "996051593148547077")</f>
        <v/>
      </c>
      <c r="B843" s="2" t="n">
        <v>43234.65023148148</v>
      </c>
      <c r="C843" t="n">
        <v>0</v>
      </c>
      <c r="D843" t="n">
        <v>15</v>
      </c>
      <c r="E843" t="s">
        <v>854</v>
      </c>
      <c r="F843">
        <f>HYPERLINK("http://pbs.twimg.com/media/DdKKwCDW4AEa_tu.jpg", "http://pbs.twimg.com/media/DdKKwCDW4AEa_tu.jpg")</f>
        <v/>
      </c>
      <c r="G843" t="s"/>
      <c r="H843" t="s"/>
      <c r="I843" t="s"/>
      <c r="J843" t="n">
        <v>-0.2732</v>
      </c>
      <c r="K843" t="n">
        <v>0.095</v>
      </c>
      <c r="L843" t="n">
        <v>0.905</v>
      </c>
      <c r="M843" t="n">
        <v>0</v>
      </c>
    </row>
    <row r="844" spans="1:13">
      <c r="A844" s="1">
        <f>HYPERLINK("http://www.twitter.com/NathanBLawrence/status/996050521826906113", "996050521826906113")</f>
        <v/>
      </c>
      <c r="B844" s="2" t="n">
        <v>43234.64726851852</v>
      </c>
      <c r="C844" t="n">
        <v>0</v>
      </c>
      <c r="D844" t="n">
        <v>21</v>
      </c>
      <c r="E844" t="s">
        <v>855</v>
      </c>
      <c r="F844">
        <f>HYPERLINK("http://pbs.twimg.com/media/DdKHAOYVQAEImFM.jpg", "http://pbs.twimg.com/media/DdKHAOYVQAEImFM.jpg")</f>
        <v/>
      </c>
      <c r="G844" t="s"/>
      <c r="H844" t="s"/>
      <c r="I844" t="s"/>
      <c r="J844" t="n">
        <v>-0.3939</v>
      </c>
      <c r="K844" t="n">
        <v>0.1</v>
      </c>
      <c r="L844" t="n">
        <v>0.9</v>
      </c>
      <c r="M844" t="n">
        <v>0</v>
      </c>
    </row>
    <row r="845" spans="1:13">
      <c r="A845" s="1">
        <f>HYPERLINK("http://www.twitter.com/NathanBLawrence/status/996050392512282624", "996050392512282624")</f>
        <v/>
      </c>
      <c r="B845" s="2" t="n">
        <v>43234.64690972222</v>
      </c>
      <c r="C845" t="n">
        <v>0</v>
      </c>
      <c r="D845" t="n">
        <v>9343</v>
      </c>
      <c r="E845" t="s">
        <v>856</v>
      </c>
      <c r="F845" t="s"/>
      <c r="G845" t="s"/>
      <c r="H845" t="s"/>
      <c r="I845" t="s"/>
      <c r="J845" t="n">
        <v>0.4019</v>
      </c>
      <c r="K845" t="n">
        <v>0</v>
      </c>
      <c r="L845" t="n">
        <v>0.876</v>
      </c>
      <c r="M845" t="n">
        <v>0.124</v>
      </c>
    </row>
    <row r="846" spans="1:13">
      <c r="A846" s="1">
        <f>HYPERLINK("http://www.twitter.com/NathanBLawrence/status/996048676798648320", "996048676798648320")</f>
        <v/>
      </c>
      <c r="B846" s="2" t="n">
        <v>43234.64217592592</v>
      </c>
      <c r="C846" t="n">
        <v>0</v>
      </c>
      <c r="D846" t="n">
        <v>9</v>
      </c>
      <c r="E846" t="s">
        <v>857</v>
      </c>
      <c r="F846" t="s"/>
      <c r="G846" t="s"/>
      <c r="H846" t="s"/>
      <c r="I846" t="s"/>
      <c r="J846" t="n">
        <v>0</v>
      </c>
      <c r="K846" t="n">
        <v>0.146</v>
      </c>
      <c r="L846" t="n">
        <v>0.669</v>
      </c>
      <c r="M846" t="n">
        <v>0.185</v>
      </c>
    </row>
    <row r="847" spans="1:13">
      <c r="A847" s="1">
        <f>HYPERLINK("http://www.twitter.com/NathanBLawrence/status/996048586054889473", "996048586054889473")</f>
        <v/>
      </c>
      <c r="B847" s="2" t="n">
        <v>43234.64193287037</v>
      </c>
      <c r="C847" t="n">
        <v>0</v>
      </c>
      <c r="D847" t="n">
        <v>21</v>
      </c>
      <c r="E847" t="s">
        <v>858</v>
      </c>
      <c r="F847">
        <f>HYPERLINK("http://pbs.twimg.com/media/DdKCbiHVQAAZH_p.jpg", "http://pbs.twimg.com/media/DdKCbiHVQAAZH_p.jpg")</f>
        <v/>
      </c>
      <c r="G847" t="s"/>
      <c r="H847" t="s"/>
      <c r="I847" t="s"/>
      <c r="J847" t="n">
        <v>-0.6874</v>
      </c>
      <c r="K847" t="n">
        <v>0.25</v>
      </c>
      <c r="L847" t="n">
        <v>0.75</v>
      </c>
      <c r="M847" t="n">
        <v>0</v>
      </c>
    </row>
    <row r="848" spans="1:13">
      <c r="A848" s="1">
        <f>HYPERLINK("http://www.twitter.com/NathanBLawrence/status/996047327465910273", "996047327465910273")</f>
        <v/>
      </c>
      <c r="B848" s="2" t="n">
        <v>43234.63846064815</v>
      </c>
      <c r="C848" t="n">
        <v>0</v>
      </c>
      <c r="D848" t="n">
        <v>830</v>
      </c>
      <c r="E848" t="s">
        <v>859</v>
      </c>
      <c r="F848" t="s"/>
      <c r="G848" t="s"/>
      <c r="H848" t="s"/>
      <c r="I848" t="s"/>
      <c r="J848" t="n">
        <v>0</v>
      </c>
      <c r="K848" t="n">
        <v>0</v>
      </c>
      <c r="L848" t="n">
        <v>1</v>
      </c>
      <c r="M848" t="n">
        <v>0</v>
      </c>
    </row>
    <row r="849" spans="1:13">
      <c r="A849" s="1">
        <f>HYPERLINK("http://www.twitter.com/NathanBLawrence/status/996044093447786496", "996044093447786496")</f>
        <v/>
      </c>
      <c r="B849" s="2" t="n">
        <v>43234.62953703704</v>
      </c>
      <c r="C849" t="n">
        <v>0</v>
      </c>
      <c r="D849" t="n">
        <v>17902</v>
      </c>
      <c r="E849" t="s">
        <v>860</v>
      </c>
      <c r="F849" t="s"/>
      <c r="G849" t="s"/>
      <c r="H849" t="s"/>
      <c r="I849" t="s"/>
      <c r="J849" t="n">
        <v>0</v>
      </c>
      <c r="K849" t="n">
        <v>0</v>
      </c>
      <c r="L849" t="n">
        <v>1</v>
      </c>
      <c r="M849" t="n">
        <v>0</v>
      </c>
    </row>
    <row r="850" spans="1:13">
      <c r="A850" s="1">
        <f>HYPERLINK("http://www.twitter.com/NathanBLawrence/status/996044006202081281", "996044006202081281")</f>
        <v/>
      </c>
      <c r="B850" s="2" t="n">
        <v>43234.62929398148</v>
      </c>
      <c r="C850" t="n">
        <v>0</v>
      </c>
      <c r="D850" t="n">
        <v>7205</v>
      </c>
      <c r="E850" t="s">
        <v>861</v>
      </c>
      <c r="F850" t="s"/>
      <c r="G850" t="s"/>
      <c r="H850" t="s"/>
      <c r="I850" t="s"/>
      <c r="J850" t="n">
        <v>0.5106000000000001</v>
      </c>
      <c r="K850" t="n">
        <v>0</v>
      </c>
      <c r="L850" t="n">
        <v>0.864</v>
      </c>
      <c r="M850" t="n">
        <v>0.136</v>
      </c>
    </row>
    <row r="851" spans="1:13">
      <c r="A851" s="1">
        <f>HYPERLINK("http://www.twitter.com/NathanBLawrence/status/995897156560146432", "995897156560146432")</f>
        <v/>
      </c>
      <c r="B851" s="2" t="n">
        <v>43234.2240625</v>
      </c>
      <c r="C851" t="n">
        <v>0</v>
      </c>
      <c r="D851" t="n">
        <v>9</v>
      </c>
      <c r="E851" t="s">
        <v>862</v>
      </c>
      <c r="F851" t="s"/>
      <c r="G851" t="s"/>
      <c r="H851" t="s"/>
      <c r="I851" t="s"/>
      <c r="J851" t="n">
        <v>0.2584</v>
      </c>
      <c r="K851" t="n">
        <v>0</v>
      </c>
      <c r="L851" t="n">
        <v>0.922</v>
      </c>
      <c r="M851" t="n">
        <v>0.078</v>
      </c>
    </row>
    <row r="852" spans="1:13">
      <c r="A852" s="1">
        <f>HYPERLINK("http://www.twitter.com/NathanBLawrence/status/995897139267096576", "995897139267096576")</f>
        <v/>
      </c>
      <c r="B852" s="2" t="n">
        <v>43234.22401620371</v>
      </c>
      <c r="C852" t="n">
        <v>0</v>
      </c>
      <c r="D852" t="n">
        <v>11</v>
      </c>
      <c r="E852" t="s">
        <v>863</v>
      </c>
      <c r="F852" t="s"/>
      <c r="G852" t="s"/>
      <c r="H852" t="s"/>
      <c r="I852" t="s"/>
      <c r="J852" t="n">
        <v>0.3303</v>
      </c>
      <c r="K852" t="n">
        <v>0</v>
      </c>
      <c r="L852" t="n">
        <v>0.884</v>
      </c>
      <c r="M852" t="n">
        <v>0.116</v>
      </c>
    </row>
    <row r="853" spans="1:13">
      <c r="A853" s="1">
        <f>HYPERLINK("http://www.twitter.com/NathanBLawrence/status/995896585849630720", "995896585849630720")</f>
        <v/>
      </c>
      <c r="B853" s="2" t="n">
        <v>43234.22248842593</v>
      </c>
      <c r="C853" t="n">
        <v>0</v>
      </c>
      <c r="D853" t="n">
        <v>7338</v>
      </c>
      <c r="E853" t="s">
        <v>864</v>
      </c>
      <c r="F853" t="s"/>
      <c r="G853" t="s"/>
      <c r="H853" t="s"/>
      <c r="I853" t="s"/>
      <c r="J853" t="n">
        <v>-0.128</v>
      </c>
      <c r="K853" t="n">
        <v>0.146</v>
      </c>
      <c r="L853" t="n">
        <v>0.728</v>
      </c>
      <c r="M853" t="n">
        <v>0.126</v>
      </c>
    </row>
    <row r="854" spans="1:13">
      <c r="A854" s="1">
        <f>HYPERLINK("http://www.twitter.com/NathanBLawrence/status/995896459236204544", "995896459236204544")</f>
        <v/>
      </c>
      <c r="B854" s="2" t="n">
        <v>43234.2221412037</v>
      </c>
      <c r="C854" t="n">
        <v>0</v>
      </c>
      <c r="D854" t="n">
        <v>4148</v>
      </c>
      <c r="E854" t="s">
        <v>865</v>
      </c>
      <c r="F854" t="s"/>
      <c r="G854" t="s"/>
      <c r="H854" t="s"/>
      <c r="I854" t="s"/>
      <c r="J854" t="n">
        <v>0.7717000000000001</v>
      </c>
      <c r="K854" t="n">
        <v>0.095</v>
      </c>
      <c r="L854" t="n">
        <v>0.536</v>
      </c>
      <c r="M854" t="n">
        <v>0.369</v>
      </c>
    </row>
    <row r="855" spans="1:13">
      <c r="A855" s="1">
        <f>HYPERLINK("http://www.twitter.com/NathanBLawrence/status/995896317191827457", "995896317191827457")</f>
        <v/>
      </c>
      <c r="B855" s="2" t="n">
        <v>43234.22174768519</v>
      </c>
      <c r="C855" t="n">
        <v>0</v>
      </c>
      <c r="D855" t="n">
        <v>1969</v>
      </c>
      <c r="E855" t="s">
        <v>866</v>
      </c>
      <c r="F855" t="s"/>
      <c r="G855" t="s"/>
      <c r="H855" t="s"/>
      <c r="I855" t="s"/>
      <c r="J855" t="n">
        <v>-0.8176</v>
      </c>
      <c r="K855" t="n">
        <v>0.333</v>
      </c>
      <c r="L855" t="n">
        <v>0.667</v>
      </c>
      <c r="M855" t="n">
        <v>0</v>
      </c>
    </row>
    <row r="856" spans="1:13">
      <c r="A856" s="1">
        <f>HYPERLINK("http://www.twitter.com/NathanBLawrence/status/995896086790275072", "995896086790275072")</f>
        <v/>
      </c>
      <c r="B856" s="2" t="n">
        <v>43234.22111111111</v>
      </c>
      <c r="C856" t="n">
        <v>0</v>
      </c>
      <c r="D856" t="n">
        <v>6418</v>
      </c>
      <c r="E856" t="s">
        <v>867</v>
      </c>
      <c r="F856" t="s"/>
      <c r="G856" t="s"/>
      <c r="H856" t="s"/>
      <c r="I856" t="s"/>
      <c r="J856" t="n">
        <v>0.2103</v>
      </c>
      <c r="K856" t="n">
        <v>0.176</v>
      </c>
      <c r="L856" t="n">
        <v>0.584</v>
      </c>
      <c r="M856" t="n">
        <v>0.239</v>
      </c>
    </row>
    <row r="857" spans="1:13">
      <c r="A857" s="1">
        <f>HYPERLINK("http://www.twitter.com/NathanBLawrence/status/995895753309655040", "995895753309655040")</f>
        <v/>
      </c>
      <c r="B857" s="2" t="n">
        <v>43234.22019675926</v>
      </c>
      <c r="C857" t="n">
        <v>0</v>
      </c>
      <c r="D857" t="n">
        <v>2038</v>
      </c>
      <c r="E857" t="s">
        <v>868</v>
      </c>
      <c r="F857" t="s"/>
      <c r="G857" t="s"/>
      <c r="H857" t="s"/>
      <c r="I857" t="s"/>
      <c r="J857" t="n">
        <v>0.5994</v>
      </c>
      <c r="K857" t="n">
        <v>0</v>
      </c>
      <c r="L857" t="n">
        <v>0.8129999999999999</v>
      </c>
      <c r="M857" t="n">
        <v>0.187</v>
      </c>
    </row>
    <row r="858" spans="1:13">
      <c r="A858" s="1">
        <f>HYPERLINK("http://www.twitter.com/NathanBLawrence/status/995895404469383168", "995895404469383168")</f>
        <v/>
      </c>
      <c r="B858" s="2" t="n">
        <v>43234.21922453704</v>
      </c>
      <c r="C858" t="n">
        <v>0</v>
      </c>
      <c r="D858" t="n">
        <v>4</v>
      </c>
      <c r="E858" t="s">
        <v>869</v>
      </c>
      <c r="F858" t="s"/>
      <c r="G858" t="s"/>
      <c r="H858" t="s"/>
      <c r="I858" t="s"/>
      <c r="J858" t="n">
        <v>0</v>
      </c>
      <c r="K858" t="n">
        <v>0</v>
      </c>
      <c r="L858" t="n">
        <v>1</v>
      </c>
      <c r="M858" t="n">
        <v>0</v>
      </c>
    </row>
    <row r="859" spans="1:13">
      <c r="A859" s="1">
        <f>HYPERLINK("http://www.twitter.com/NathanBLawrence/status/995895252706840576", "995895252706840576")</f>
        <v/>
      </c>
      <c r="B859" s="2" t="n">
        <v>43234.21880787037</v>
      </c>
      <c r="C859" t="n">
        <v>0</v>
      </c>
      <c r="D859" t="n">
        <v>10</v>
      </c>
      <c r="E859" t="s">
        <v>870</v>
      </c>
      <c r="F859" t="s"/>
      <c r="G859" t="s"/>
      <c r="H859" t="s"/>
      <c r="I859" t="s"/>
      <c r="J859" t="n">
        <v>0</v>
      </c>
      <c r="K859" t="n">
        <v>0</v>
      </c>
      <c r="L859" t="n">
        <v>1</v>
      </c>
      <c r="M859" t="n">
        <v>0</v>
      </c>
    </row>
    <row r="860" spans="1:13">
      <c r="A860" s="1">
        <f>HYPERLINK("http://www.twitter.com/NathanBLawrence/status/995895090924146688", "995895090924146688")</f>
        <v/>
      </c>
      <c r="B860" s="2" t="n">
        <v>43234.21836805555</v>
      </c>
      <c r="C860" t="n">
        <v>0</v>
      </c>
      <c r="D860" t="n">
        <v>8</v>
      </c>
      <c r="E860" t="s">
        <v>869</v>
      </c>
      <c r="F860" t="s"/>
      <c r="G860" t="s"/>
      <c r="H860" t="s"/>
      <c r="I860" t="s"/>
      <c r="J860" t="n">
        <v>0</v>
      </c>
      <c r="K860" t="n">
        <v>0</v>
      </c>
      <c r="L860" t="n">
        <v>1</v>
      </c>
      <c r="M860" t="n">
        <v>0</v>
      </c>
    </row>
    <row r="861" spans="1:13">
      <c r="A861" s="1">
        <f>HYPERLINK("http://www.twitter.com/NathanBLawrence/status/995894952847642624", "995894952847642624")</f>
        <v/>
      </c>
      <c r="B861" s="2" t="n">
        <v>43234.21798611111</v>
      </c>
      <c r="C861" t="n">
        <v>0</v>
      </c>
      <c r="D861" t="n">
        <v>2</v>
      </c>
      <c r="E861" t="s">
        <v>871</v>
      </c>
      <c r="F861" t="s"/>
      <c r="G861" t="s"/>
      <c r="H861" t="s"/>
      <c r="I861" t="s"/>
      <c r="J861" t="n">
        <v>-0.3804</v>
      </c>
      <c r="K861" t="n">
        <v>0.101</v>
      </c>
      <c r="L861" t="n">
        <v>0.899</v>
      </c>
      <c r="M861" t="n">
        <v>0</v>
      </c>
    </row>
    <row r="862" spans="1:13">
      <c r="A862" s="1">
        <f>HYPERLINK("http://www.twitter.com/NathanBLawrence/status/995894809180229632", "995894809180229632")</f>
        <v/>
      </c>
      <c r="B862" s="2" t="n">
        <v>43234.21758101852</v>
      </c>
      <c r="C862" t="n">
        <v>0</v>
      </c>
      <c r="D862" t="n">
        <v>13</v>
      </c>
      <c r="E862" t="s">
        <v>872</v>
      </c>
      <c r="F862">
        <f>HYPERLINK("http://pbs.twimg.com/media/DdHUo8VW0AAxpjQ.jpg", "http://pbs.twimg.com/media/DdHUo8VW0AAxpjQ.jpg")</f>
        <v/>
      </c>
      <c r="G862" t="s"/>
      <c r="H862" t="s"/>
      <c r="I862" t="s"/>
      <c r="J862" t="n">
        <v>-0.3182</v>
      </c>
      <c r="K862" t="n">
        <v>0.103</v>
      </c>
      <c r="L862" t="n">
        <v>0.897</v>
      </c>
      <c r="M862" t="n">
        <v>0</v>
      </c>
    </row>
    <row r="863" spans="1:13">
      <c r="A863" s="1">
        <f>HYPERLINK("http://www.twitter.com/NathanBLawrence/status/995894469542236160", "995894469542236160")</f>
        <v/>
      </c>
      <c r="B863" s="2" t="n">
        <v>43234.21665509259</v>
      </c>
      <c r="C863" t="n">
        <v>0</v>
      </c>
      <c r="D863" t="n">
        <v>1540</v>
      </c>
      <c r="E863" t="s">
        <v>873</v>
      </c>
      <c r="F863" t="s"/>
      <c r="G863" t="s"/>
      <c r="H863" t="s"/>
      <c r="I863" t="s"/>
      <c r="J863" t="n">
        <v>0.4215</v>
      </c>
      <c r="K863" t="n">
        <v>0</v>
      </c>
      <c r="L863" t="n">
        <v>0.882</v>
      </c>
      <c r="M863" t="n">
        <v>0.118</v>
      </c>
    </row>
    <row r="864" spans="1:13">
      <c r="A864" s="1">
        <f>HYPERLINK("http://www.twitter.com/NathanBLawrence/status/995894317670719488", "995894317670719488")</f>
        <v/>
      </c>
      <c r="B864" s="2" t="n">
        <v>43234.21622685185</v>
      </c>
      <c r="C864" t="n">
        <v>0</v>
      </c>
      <c r="D864" t="n">
        <v>1968</v>
      </c>
      <c r="E864" t="s">
        <v>874</v>
      </c>
      <c r="F864" t="s"/>
      <c r="G864" t="s"/>
      <c r="H864" t="s"/>
      <c r="I864" t="s"/>
      <c r="J864" t="n">
        <v>-0.7579</v>
      </c>
      <c r="K864" t="n">
        <v>0.236</v>
      </c>
      <c r="L864" t="n">
        <v>0.764</v>
      </c>
      <c r="M864" t="n">
        <v>0</v>
      </c>
    </row>
    <row r="865" spans="1:13">
      <c r="A865" s="1">
        <f>HYPERLINK("http://www.twitter.com/NathanBLawrence/status/995894247449645056", "995894247449645056")</f>
        <v/>
      </c>
      <c r="B865" s="2" t="n">
        <v>43234.21604166667</v>
      </c>
      <c r="C865" t="n">
        <v>0</v>
      </c>
      <c r="D865" t="n">
        <v>1354</v>
      </c>
      <c r="E865" t="s">
        <v>875</v>
      </c>
      <c r="F865" t="s"/>
      <c r="G865" t="s"/>
      <c r="H865" t="s"/>
      <c r="I865" t="s"/>
      <c r="J865" t="n">
        <v>-0.2619</v>
      </c>
      <c r="K865" t="n">
        <v>0.132</v>
      </c>
      <c r="L865" t="n">
        <v>0.773</v>
      </c>
      <c r="M865" t="n">
        <v>0.095</v>
      </c>
    </row>
    <row r="866" spans="1:13">
      <c r="A866" s="1">
        <f>HYPERLINK("http://www.twitter.com/NathanBLawrence/status/995894091123748864", "995894091123748864")</f>
        <v/>
      </c>
      <c r="B866" s="2" t="n">
        <v>43234.21560185185</v>
      </c>
      <c r="C866" t="n">
        <v>0</v>
      </c>
      <c r="D866" t="n">
        <v>3</v>
      </c>
      <c r="E866" t="s">
        <v>876</v>
      </c>
      <c r="F866" t="s"/>
      <c r="G866" t="s"/>
      <c r="H866" t="s"/>
      <c r="I866" t="s"/>
      <c r="J866" t="n">
        <v>0.4404</v>
      </c>
      <c r="K866" t="n">
        <v>0</v>
      </c>
      <c r="L866" t="n">
        <v>0.734</v>
      </c>
      <c r="M866" t="n">
        <v>0.266</v>
      </c>
    </row>
    <row r="867" spans="1:13">
      <c r="A867" s="1">
        <f>HYPERLINK("http://www.twitter.com/NathanBLawrence/status/995893986354192384", "995893986354192384")</f>
        <v/>
      </c>
      <c r="B867" s="2" t="n">
        <v>43234.2153125</v>
      </c>
      <c r="C867" t="n">
        <v>0</v>
      </c>
      <c r="D867" t="n">
        <v>805</v>
      </c>
      <c r="E867" t="s">
        <v>877</v>
      </c>
      <c r="F867" t="s"/>
      <c r="G867" t="s"/>
      <c r="H867" t="s"/>
      <c r="I867" t="s"/>
      <c r="J867" t="n">
        <v>0.717</v>
      </c>
      <c r="K867" t="n">
        <v>0</v>
      </c>
      <c r="L867" t="n">
        <v>0.77</v>
      </c>
      <c r="M867" t="n">
        <v>0.23</v>
      </c>
    </row>
    <row r="868" spans="1:13">
      <c r="A868" s="1">
        <f>HYPERLINK("http://www.twitter.com/NathanBLawrence/status/995893896600276994", "995893896600276994")</f>
        <v/>
      </c>
      <c r="B868" s="2" t="n">
        <v>43234.21506944444</v>
      </c>
      <c r="C868" t="n">
        <v>0</v>
      </c>
      <c r="D868" t="n">
        <v>496</v>
      </c>
      <c r="E868" t="s">
        <v>878</v>
      </c>
      <c r="F868">
        <f>HYPERLINK("http://pbs.twimg.com/media/DdHcDxsXUAA4p64.jpg", "http://pbs.twimg.com/media/DdHcDxsXUAA4p64.jpg")</f>
        <v/>
      </c>
      <c r="G868" t="s"/>
      <c r="H868" t="s"/>
      <c r="I868" t="s"/>
      <c r="J868" t="n">
        <v>0.5983000000000001</v>
      </c>
      <c r="K868" t="n">
        <v>0</v>
      </c>
      <c r="L868" t="n">
        <v>0.8179999999999999</v>
      </c>
      <c r="M868" t="n">
        <v>0.182</v>
      </c>
    </row>
    <row r="869" spans="1:13">
      <c r="A869" s="1">
        <f>HYPERLINK("http://www.twitter.com/NathanBLawrence/status/995893781928046593", "995893781928046593")</f>
        <v/>
      </c>
      <c r="B869" s="2" t="n">
        <v>43234.21475694444</v>
      </c>
      <c r="C869" t="n">
        <v>0</v>
      </c>
      <c r="D869" t="n">
        <v>8</v>
      </c>
      <c r="E869" t="s">
        <v>879</v>
      </c>
      <c r="F869">
        <f>HYPERLINK("http://pbs.twimg.com/media/DdH0nndVwAAdBjl.jpg", "http://pbs.twimg.com/media/DdH0nndVwAAdBjl.jpg")</f>
        <v/>
      </c>
      <c r="G869" t="s"/>
      <c r="H869" t="s"/>
      <c r="I869" t="s"/>
      <c r="J869" t="n">
        <v>0</v>
      </c>
      <c r="K869" t="n">
        <v>0</v>
      </c>
      <c r="L869" t="n">
        <v>1</v>
      </c>
      <c r="M869" t="n">
        <v>0</v>
      </c>
    </row>
    <row r="870" spans="1:13">
      <c r="A870" s="1">
        <f>HYPERLINK("http://www.twitter.com/NathanBLawrence/status/995893680253882369", "995893680253882369")</f>
        <v/>
      </c>
      <c r="B870" s="2" t="n">
        <v>43234.2144675926</v>
      </c>
      <c r="C870" t="n">
        <v>0</v>
      </c>
      <c r="D870" t="n">
        <v>74</v>
      </c>
      <c r="E870" t="s">
        <v>880</v>
      </c>
      <c r="F870" t="s"/>
      <c r="G870" t="s"/>
      <c r="H870" t="s"/>
      <c r="I870" t="s"/>
      <c r="J870" t="n">
        <v>-0.4767</v>
      </c>
      <c r="K870" t="n">
        <v>0.202</v>
      </c>
      <c r="L870" t="n">
        <v>0.712</v>
      </c>
      <c r="M870" t="n">
        <v>0.08599999999999999</v>
      </c>
    </row>
    <row r="871" spans="1:13">
      <c r="A871" s="1">
        <f>HYPERLINK("http://www.twitter.com/NathanBLawrence/status/995893663397044225", "995893663397044225")</f>
        <v/>
      </c>
      <c r="B871" s="2" t="n">
        <v>43234.2144212963</v>
      </c>
      <c r="C871" t="n">
        <v>0</v>
      </c>
      <c r="D871" t="n">
        <v>0</v>
      </c>
      <c r="E871" t="s">
        <v>881</v>
      </c>
      <c r="F871" t="s"/>
      <c r="G871" t="s"/>
      <c r="H871" t="s"/>
      <c r="I871" t="s"/>
      <c r="J871" t="n">
        <v>0</v>
      </c>
      <c r="K871" t="n">
        <v>0</v>
      </c>
      <c r="L871" t="n">
        <v>1</v>
      </c>
      <c r="M871" t="n">
        <v>0</v>
      </c>
    </row>
    <row r="872" spans="1:13">
      <c r="A872" s="1">
        <f>HYPERLINK("http://www.twitter.com/NathanBLawrence/status/995892525352345600", "995892525352345600")</f>
        <v/>
      </c>
      <c r="B872" s="2" t="n">
        <v>43234.21128472222</v>
      </c>
      <c r="C872" t="n">
        <v>0</v>
      </c>
      <c r="D872" t="n">
        <v>6954</v>
      </c>
      <c r="E872" t="s">
        <v>882</v>
      </c>
      <c r="F872">
        <f>HYPERLINK("https://video.twimg.com/ext_tw_video/994954924197859328/pu/vid/720x720/ETWCPZSr0vqNHaen.mp4?tag=3", "https://video.twimg.com/ext_tw_video/994954924197859328/pu/vid/720x720/ETWCPZSr0vqNHaen.mp4?tag=3")</f>
        <v/>
      </c>
      <c r="G872" t="s"/>
      <c r="H872" t="s"/>
      <c r="I872" t="s"/>
      <c r="J872" t="n">
        <v>0</v>
      </c>
      <c r="K872" t="n">
        <v>0</v>
      </c>
      <c r="L872" t="n">
        <v>1</v>
      </c>
      <c r="M872" t="n">
        <v>0</v>
      </c>
    </row>
    <row r="873" spans="1:13">
      <c r="A873" s="1">
        <f>HYPERLINK("http://www.twitter.com/NathanBLawrence/status/995888395388833797", "995888395388833797")</f>
        <v/>
      </c>
      <c r="B873" s="2" t="n">
        <v>43234.19988425926</v>
      </c>
      <c r="C873" t="n">
        <v>0</v>
      </c>
      <c r="D873" t="n">
        <v>31890</v>
      </c>
      <c r="E873" t="s">
        <v>883</v>
      </c>
      <c r="F873" t="s"/>
      <c r="G873" t="s"/>
      <c r="H873" t="s"/>
      <c r="I873" t="s"/>
      <c r="J873" t="n">
        <v>-0.8718</v>
      </c>
      <c r="K873" t="n">
        <v>0.292</v>
      </c>
      <c r="L873" t="n">
        <v>0.708</v>
      </c>
      <c r="M873" t="n">
        <v>0</v>
      </c>
    </row>
    <row r="874" spans="1:13">
      <c r="A874" s="1">
        <f>HYPERLINK("http://www.twitter.com/NathanBLawrence/status/995888110465568768", "995888110465568768")</f>
        <v/>
      </c>
      <c r="B874" s="2" t="n">
        <v>43234.19909722222</v>
      </c>
      <c r="C874" t="n">
        <v>0</v>
      </c>
      <c r="D874" t="n">
        <v>27923</v>
      </c>
      <c r="E874" t="s">
        <v>884</v>
      </c>
      <c r="F874" t="s"/>
      <c r="G874" t="s"/>
      <c r="H874" t="s"/>
      <c r="I874" t="s"/>
      <c r="J874" t="n">
        <v>-0.4767</v>
      </c>
      <c r="K874" t="n">
        <v>0.114</v>
      </c>
      <c r="L874" t="n">
        <v>0.886</v>
      </c>
      <c r="M874" t="n">
        <v>0</v>
      </c>
    </row>
    <row r="875" spans="1:13">
      <c r="A875" s="1">
        <f>HYPERLINK("http://www.twitter.com/NathanBLawrence/status/995887967230021632", "995887967230021632")</f>
        <v/>
      </c>
      <c r="B875" s="2" t="n">
        <v>43234.1987037037</v>
      </c>
      <c r="C875" t="n">
        <v>0</v>
      </c>
      <c r="D875" t="n">
        <v>19945</v>
      </c>
      <c r="E875" t="s">
        <v>885</v>
      </c>
      <c r="F875" t="s"/>
      <c r="G875" t="s"/>
      <c r="H875" t="s"/>
      <c r="I875" t="s"/>
      <c r="J875" t="n">
        <v>0.3506</v>
      </c>
      <c r="K875" t="n">
        <v>0</v>
      </c>
      <c r="L875" t="n">
        <v>0.859</v>
      </c>
      <c r="M875" t="n">
        <v>0.141</v>
      </c>
    </row>
    <row r="876" spans="1:13">
      <c r="A876" s="1">
        <f>HYPERLINK("http://www.twitter.com/NathanBLawrence/status/995887824887996416", "995887824887996416")</f>
        <v/>
      </c>
      <c r="B876" s="2" t="n">
        <v>43234.19831018519</v>
      </c>
      <c r="C876" t="n">
        <v>0</v>
      </c>
      <c r="D876" t="n">
        <v>17411</v>
      </c>
      <c r="E876" t="s">
        <v>886</v>
      </c>
      <c r="F876" t="s"/>
      <c r="G876" t="s"/>
      <c r="H876" t="s"/>
      <c r="I876" t="s"/>
      <c r="J876" t="n">
        <v>0</v>
      </c>
      <c r="K876" t="n">
        <v>0</v>
      </c>
      <c r="L876" t="n">
        <v>1</v>
      </c>
      <c r="M876" t="n">
        <v>0</v>
      </c>
    </row>
    <row r="877" spans="1:13">
      <c r="A877" s="1">
        <f>HYPERLINK("http://www.twitter.com/NathanBLawrence/status/995887655672995840", "995887655672995840")</f>
        <v/>
      </c>
      <c r="B877" s="2" t="n">
        <v>43234.19784722223</v>
      </c>
      <c r="C877" t="n">
        <v>0</v>
      </c>
      <c r="D877" t="n">
        <v>7</v>
      </c>
      <c r="E877" t="s">
        <v>887</v>
      </c>
      <c r="F877" t="s"/>
      <c r="G877" t="s"/>
      <c r="H877" t="s"/>
      <c r="I877" t="s"/>
      <c r="J877" t="n">
        <v>-0.5423</v>
      </c>
      <c r="K877" t="n">
        <v>0.171</v>
      </c>
      <c r="L877" t="n">
        <v>0.829</v>
      </c>
      <c r="M877" t="n">
        <v>0</v>
      </c>
    </row>
    <row r="878" spans="1:13">
      <c r="A878" s="1">
        <f>HYPERLINK("http://www.twitter.com/NathanBLawrence/status/995887501901352960", "995887501901352960")</f>
        <v/>
      </c>
      <c r="B878" s="2" t="n">
        <v>43234.19741898148</v>
      </c>
      <c r="C878" t="n">
        <v>0</v>
      </c>
      <c r="D878" t="n">
        <v>7</v>
      </c>
      <c r="E878" t="s">
        <v>888</v>
      </c>
      <c r="F878" t="s"/>
      <c r="G878" t="s"/>
      <c r="H878" t="s"/>
      <c r="I878" t="s"/>
      <c r="J878" t="n">
        <v>0.25</v>
      </c>
      <c r="K878" t="n">
        <v>0.08</v>
      </c>
      <c r="L878" t="n">
        <v>0.803</v>
      </c>
      <c r="M878" t="n">
        <v>0.117</v>
      </c>
    </row>
    <row r="879" spans="1:13">
      <c r="A879" s="1">
        <f>HYPERLINK("http://www.twitter.com/NathanBLawrence/status/995887139505061888", "995887139505061888")</f>
        <v/>
      </c>
      <c r="B879" s="2" t="n">
        <v>43234.19642361111</v>
      </c>
      <c r="C879" t="n">
        <v>0</v>
      </c>
      <c r="D879" t="n">
        <v>3</v>
      </c>
      <c r="E879" t="s">
        <v>889</v>
      </c>
      <c r="F879" t="s"/>
      <c r="G879" t="s"/>
      <c r="H879" t="s"/>
      <c r="I879" t="s"/>
      <c r="J879" t="n">
        <v>-0.4767</v>
      </c>
      <c r="K879" t="n">
        <v>0.279</v>
      </c>
      <c r="L879" t="n">
        <v>0.721</v>
      </c>
      <c r="M879" t="n">
        <v>0</v>
      </c>
    </row>
    <row r="880" spans="1:13">
      <c r="A880" s="1">
        <f>HYPERLINK("http://www.twitter.com/NathanBLawrence/status/995887098497458176", "995887098497458176")</f>
        <v/>
      </c>
      <c r="B880" s="2" t="n">
        <v>43234.19630787037</v>
      </c>
      <c r="C880" t="n">
        <v>0</v>
      </c>
      <c r="D880" t="n">
        <v>10</v>
      </c>
      <c r="E880" t="s">
        <v>890</v>
      </c>
      <c r="F880" t="s"/>
      <c r="G880" t="s"/>
      <c r="H880" t="s"/>
      <c r="I880" t="s"/>
      <c r="J880" t="n">
        <v>0</v>
      </c>
      <c r="K880" t="n">
        <v>0</v>
      </c>
      <c r="L880" t="n">
        <v>1</v>
      </c>
      <c r="M880" t="n">
        <v>0</v>
      </c>
    </row>
    <row r="881" spans="1:13">
      <c r="A881" s="1">
        <f>HYPERLINK("http://www.twitter.com/NathanBLawrence/status/995886887553220608", "995886887553220608")</f>
        <v/>
      </c>
      <c r="B881" s="2" t="n">
        <v>43234.19572916667</v>
      </c>
      <c r="C881" t="n">
        <v>0</v>
      </c>
      <c r="D881" t="n">
        <v>16</v>
      </c>
      <c r="E881" t="s">
        <v>891</v>
      </c>
      <c r="F881">
        <f>HYPERLINK("http://pbs.twimg.com/media/DdGvxHHX4AI00no.jpg", "http://pbs.twimg.com/media/DdGvxHHX4AI00no.jpg")</f>
        <v/>
      </c>
      <c r="G881" t="s"/>
      <c r="H881" t="s"/>
      <c r="I881" t="s"/>
      <c r="J881" t="n">
        <v>0</v>
      </c>
      <c r="K881" t="n">
        <v>0</v>
      </c>
      <c r="L881" t="n">
        <v>1</v>
      </c>
      <c r="M881" t="n">
        <v>0</v>
      </c>
    </row>
    <row r="882" spans="1:13">
      <c r="A882" s="1">
        <f>HYPERLINK("http://www.twitter.com/NathanBLawrence/status/995886688009240576", "995886688009240576")</f>
        <v/>
      </c>
      <c r="B882" s="2" t="n">
        <v>43234.19517361111</v>
      </c>
      <c r="C882" t="n">
        <v>0</v>
      </c>
      <c r="D882" t="n">
        <v>4</v>
      </c>
      <c r="E882" t="s">
        <v>892</v>
      </c>
      <c r="F882" t="s"/>
      <c r="G882" t="s"/>
      <c r="H882" t="s"/>
      <c r="I882" t="s"/>
      <c r="J882" t="n">
        <v>0.4939</v>
      </c>
      <c r="K882" t="n">
        <v>0</v>
      </c>
      <c r="L882" t="n">
        <v>0.862</v>
      </c>
      <c r="M882" t="n">
        <v>0.138</v>
      </c>
    </row>
    <row r="883" spans="1:13">
      <c r="A883" s="1">
        <f>HYPERLINK("http://www.twitter.com/NathanBLawrence/status/995886374568902656", "995886374568902656")</f>
        <v/>
      </c>
      <c r="B883" s="2" t="n">
        <v>43234.19431712963</v>
      </c>
      <c r="C883" t="n">
        <v>0</v>
      </c>
      <c r="D883" t="n">
        <v>11</v>
      </c>
      <c r="E883" t="s">
        <v>893</v>
      </c>
      <c r="F883">
        <f>HYPERLINK("http://pbs.twimg.com/media/DdGx-lYVwAEOB_6.jpg", "http://pbs.twimg.com/media/DdGx-lYVwAEOB_6.jpg")</f>
        <v/>
      </c>
      <c r="G883" t="s"/>
      <c r="H883" t="s"/>
      <c r="I883" t="s"/>
      <c r="J883" t="n">
        <v>0.4939</v>
      </c>
      <c r="K883" t="n">
        <v>0</v>
      </c>
      <c r="L883" t="n">
        <v>0.8110000000000001</v>
      </c>
      <c r="M883" t="n">
        <v>0.189</v>
      </c>
    </row>
    <row r="884" spans="1:13">
      <c r="A884" s="1">
        <f>HYPERLINK("http://www.twitter.com/NathanBLawrence/status/995885991033368576", "995885991033368576")</f>
        <v/>
      </c>
      <c r="B884" s="2" t="n">
        <v>43234.19325231481</v>
      </c>
      <c r="C884" t="n">
        <v>0</v>
      </c>
      <c r="D884" t="n">
        <v>4</v>
      </c>
      <c r="E884" t="s">
        <v>894</v>
      </c>
      <c r="F884" t="s"/>
      <c r="G884" t="s"/>
      <c r="H884" t="s"/>
      <c r="I884" t="s"/>
      <c r="J884" t="n">
        <v>0</v>
      </c>
      <c r="K884" t="n">
        <v>0</v>
      </c>
      <c r="L884" t="n">
        <v>1</v>
      </c>
      <c r="M884" t="n">
        <v>0</v>
      </c>
    </row>
    <row r="885" spans="1:13">
      <c r="A885" s="1">
        <f>HYPERLINK("http://www.twitter.com/NathanBLawrence/status/995885950520578050", "995885950520578050")</f>
        <v/>
      </c>
      <c r="B885" s="2" t="n">
        <v>43234.19313657407</v>
      </c>
      <c r="C885" t="n">
        <v>0</v>
      </c>
      <c r="D885" t="n">
        <v>2</v>
      </c>
      <c r="E885" t="s">
        <v>895</v>
      </c>
      <c r="F885">
        <f>HYPERLINK("http://pbs.twimg.com/media/DdCB83IWAAAtTBE.jpg", "http://pbs.twimg.com/media/DdCB83IWAAAtTBE.jpg")</f>
        <v/>
      </c>
      <c r="G885" t="s"/>
      <c r="H885" t="s"/>
      <c r="I885" t="s"/>
      <c r="J885" t="n">
        <v>0</v>
      </c>
      <c r="K885" t="n">
        <v>0</v>
      </c>
      <c r="L885" t="n">
        <v>1</v>
      </c>
      <c r="M885" t="n">
        <v>0</v>
      </c>
    </row>
    <row r="886" spans="1:13">
      <c r="A886" s="1">
        <f>HYPERLINK("http://www.twitter.com/NathanBLawrence/status/995885678012416000", "995885678012416000")</f>
        <v/>
      </c>
      <c r="B886" s="2" t="n">
        <v>43234.19238425926</v>
      </c>
      <c r="C886" t="n">
        <v>0</v>
      </c>
      <c r="D886" t="n">
        <v>13</v>
      </c>
      <c r="E886" t="s">
        <v>896</v>
      </c>
      <c r="F886">
        <f>HYPERLINK("http://pbs.twimg.com/media/DdHK8WIXcAAS_jj.jpg", "http://pbs.twimg.com/media/DdHK8WIXcAAS_jj.jpg")</f>
        <v/>
      </c>
      <c r="G886" t="s"/>
      <c r="H886" t="s"/>
      <c r="I886" t="s"/>
      <c r="J886" t="n">
        <v>-0.2023</v>
      </c>
      <c r="K886" t="n">
        <v>0.128</v>
      </c>
      <c r="L886" t="n">
        <v>0.775</v>
      </c>
      <c r="M886" t="n">
        <v>0.097</v>
      </c>
    </row>
    <row r="887" spans="1:13">
      <c r="A887" s="1">
        <f>HYPERLINK("http://www.twitter.com/NathanBLawrence/status/995884870965460992", "995884870965460992")</f>
        <v/>
      </c>
      <c r="B887" s="2" t="n">
        <v>43234.19016203703</v>
      </c>
      <c r="C887" t="n">
        <v>0</v>
      </c>
      <c r="D887" t="n">
        <v>4</v>
      </c>
      <c r="E887" t="s">
        <v>897</v>
      </c>
      <c r="F887">
        <f>HYPERLINK("http://pbs.twimg.com/media/DdH1Yw-U8AAlPCO.jpg", "http://pbs.twimg.com/media/DdH1Yw-U8AAlPCO.jpg")</f>
        <v/>
      </c>
      <c r="G887" t="s"/>
      <c r="H887" t="s"/>
      <c r="I887" t="s"/>
      <c r="J887" t="n">
        <v>0</v>
      </c>
      <c r="K887" t="n">
        <v>0</v>
      </c>
      <c r="L887" t="n">
        <v>1</v>
      </c>
      <c r="M887" t="n">
        <v>0</v>
      </c>
    </row>
    <row r="888" spans="1:13">
      <c r="A888" s="1">
        <f>HYPERLINK("http://www.twitter.com/NathanBLawrence/status/995884747602579457", "995884747602579457")</f>
        <v/>
      </c>
      <c r="B888" s="2" t="n">
        <v>43234.18982638889</v>
      </c>
      <c r="C888" t="n">
        <v>0</v>
      </c>
      <c r="D888" t="n">
        <v>5</v>
      </c>
      <c r="E888" t="s">
        <v>898</v>
      </c>
      <c r="F888" t="s"/>
      <c r="G888" t="s"/>
      <c r="H888" t="s"/>
      <c r="I888" t="s"/>
      <c r="J888" t="n">
        <v>0</v>
      </c>
      <c r="K888" t="n">
        <v>0</v>
      </c>
      <c r="L888" t="n">
        <v>1</v>
      </c>
      <c r="M888" t="n">
        <v>0</v>
      </c>
    </row>
    <row r="889" spans="1:13">
      <c r="A889" s="1">
        <f>HYPERLINK("http://www.twitter.com/NathanBLawrence/status/995884526520811521", "995884526520811521")</f>
        <v/>
      </c>
      <c r="B889" s="2" t="n">
        <v>43234.18921296296</v>
      </c>
      <c r="C889" t="n">
        <v>0</v>
      </c>
      <c r="D889" t="n">
        <v>4</v>
      </c>
      <c r="E889" t="s">
        <v>899</v>
      </c>
      <c r="F889" t="s"/>
      <c r="G889" t="s"/>
      <c r="H889" t="s"/>
      <c r="I889" t="s"/>
      <c r="J889" t="n">
        <v>0.296</v>
      </c>
      <c r="K889" t="n">
        <v>0</v>
      </c>
      <c r="L889" t="n">
        <v>0.913</v>
      </c>
      <c r="M889" t="n">
        <v>0.08699999999999999</v>
      </c>
    </row>
    <row r="890" spans="1:13">
      <c r="A890" s="1">
        <f>HYPERLINK("http://www.twitter.com/NathanBLawrence/status/995884299374088193", "995884299374088193")</f>
        <v/>
      </c>
      <c r="B890" s="2" t="n">
        <v>43234.18858796296</v>
      </c>
      <c r="C890" t="n">
        <v>4</v>
      </c>
      <c r="D890" t="n">
        <v>2</v>
      </c>
      <c r="E890" t="s">
        <v>900</v>
      </c>
      <c r="F890" t="s"/>
      <c r="G890" t="s"/>
      <c r="H890" t="s"/>
      <c r="I890" t="s"/>
      <c r="J890" t="n">
        <v>-0.7865</v>
      </c>
      <c r="K890" t="n">
        <v>0.22</v>
      </c>
      <c r="L890" t="n">
        <v>0.722</v>
      </c>
      <c r="M890" t="n">
        <v>0.058</v>
      </c>
    </row>
    <row r="891" spans="1:13">
      <c r="A891" s="1">
        <f>HYPERLINK("http://www.twitter.com/NathanBLawrence/status/995880982099054593", "995880982099054593")</f>
        <v/>
      </c>
      <c r="B891" s="2" t="n">
        <v>43234.17943287037</v>
      </c>
      <c r="C891" t="n">
        <v>0</v>
      </c>
      <c r="D891" t="n">
        <v>5</v>
      </c>
      <c r="E891" t="s">
        <v>901</v>
      </c>
      <c r="F891" t="s"/>
      <c r="G891" t="s"/>
      <c r="H891" t="s"/>
      <c r="I891" t="s"/>
      <c r="J891" t="n">
        <v>0</v>
      </c>
      <c r="K891" t="n">
        <v>0</v>
      </c>
      <c r="L891" t="n">
        <v>1</v>
      </c>
      <c r="M891" t="n">
        <v>0</v>
      </c>
    </row>
    <row r="892" spans="1:13">
      <c r="A892" s="1">
        <f>HYPERLINK("http://www.twitter.com/NathanBLawrence/status/995880634106101760", "995880634106101760")</f>
        <v/>
      </c>
      <c r="B892" s="2" t="n">
        <v>43234.17847222222</v>
      </c>
      <c r="C892" t="n">
        <v>0</v>
      </c>
      <c r="D892" t="n">
        <v>30</v>
      </c>
      <c r="E892" t="s">
        <v>902</v>
      </c>
      <c r="F892" t="s"/>
      <c r="G892" t="s"/>
      <c r="H892" t="s"/>
      <c r="I892" t="s"/>
      <c r="J892" t="n">
        <v>0.128</v>
      </c>
      <c r="K892" t="n">
        <v>0.104</v>
      </c>
      <c r="L892" t="n">
        <v>0.772</v>
      </c>
      <c r="M892" t="n">
        <v>0.124</v>
      </c>
    </row>
    <row r="893" spans="1:13">
      <c r="A893" s="1">
        <f>HYPERLINK("http://www.twitter.com/NathanBLawrence/status/995880339535884290", "995880339535884290")</f>
        <v/>
      </c>
      <c r="B893" s="2" t="n">
        <v>43234.17766203704</v>
      </c>
      <c r="C893" t="n">
        <v>0</v>
      </c>
      <c r="D893" t="n">
        <v>7</v>
      </c>
      <c r="E893" t="s">
        <v>903</v>
      </c>
      <c r="F893" t="s"/>
      <c r="G893" t="s"/>
      <c r="H893" t="s"/>
      <c r="I893" t="s"/>
      <c r="J893" t="n">
        <v>-0.5859</v>
      </c>
      <c r="K893" t="n">
        <v>0.153</v>
      </c>
      <c r="L893" t="n">
        <v>0.847</v>
      </c>
      <c r="M893" t="n">
        <v>0</v>
      </c>
    </row>
    <row r="894" spans="1:13">
      <c r="A894" s="1">
        <f>HYPERLINK("http://www.twitter.com/NathanBLawrence/status/995880199865622533", "995880199865622533")</f>
        <v/>
      </c>
      <c r="B894" s="2" t="n">
        <v>43234.17726851852</v>
      </c>
      <c r="C894" t="n">
        <v>0</v>
      </c>
      <c r="D894" t="n">
        <v>16</v>
      </c>
      <c r="E894" t="s">
        <v>904</v>
      </c>
      <c r="F894" t="s"/>
      <c r="G894" t="s"/>
      <c r="H894" t="s"/>
      <c r="I894" t="s"/>
      <c r="J894" t="n">
        <v>-0.0258</v>
      </c>
      <c r="K894" t="n">
        <v>0.105</v>
      </c>
      <c r="L894" t="n">
        <v>0.795</v>
      </c>
      <c r="M894" t="n">
        <v>0.1</v>
      </c>
    </row>
    <row r="895" spans="1:13">
      <c r="A895" s="1">
        <f>HYPERLINK("http://www.twitter.com/NathanBLawrence/status/995879017550036992", "995879017550036992")</f>
        <v/>
      </c>
      <c r="B895" s="2" t="n">
        <v>43234.17400462963</v>
      </c>
      <c r="C895" t="n">
        <v>0</v>
      </c>
      <c r="D895" t="n">
        <v>0</v>
      </c>
      <c r="E895" t="s">
        <v>905</v>
      </c>
      <c r="F895" t="s"/>
      <c r="G895" t="s"/>
      <c r="H895" t="s"/>
      <c r="I895" t="s"/>
      <c r="J895" t="n">
        <v>0.1027</v>
      </c>
      <c r="K895" t="n">
        <v>0.054</v>
      </c>
      <c r="L895" t="n">
        <v>0.878</v>
      </c>
      <c r="M895" t="n">
        <v>0.068</v>
      </c>
    </row>
    <row r="896" spans="1:13">
      <c r="A896" s="1">
        <f>HYPERLINK("http://www.twitter.com/NathanBLawrence/status/995874877197373441", "995874877197373441")</f>
        <v/>
      </c>
      <c r="B896" s="2" t="n">
        <v>43234.16258101852</v>
      </c>
      <c r="C896" t="n">
        <v>0</v>
      </c>
      <c r="D896" t="n">
        <v>7</v>
      </c>
      <c r="E896" t="s">
        <v>906</v>
      </c>
      <c r="F896">
        <f>HYPERLINK("http://pbs.twimg.com/media/DdFz4LtVAAAvskt.jpg", "http://pbs.twimg.com/media/DdFz4LtVAAAvskt.jpg")</f>
        <v/>
      </c>
      <c r="G896" t="s"/>
      <c r="H896" t="s"/>
      <c r="I896" t="s"/>
      <c r="J896" t="n">
        <v>0</v>
      </c>
      <c r="K896" t="n">
        <v>0</v>
      </c>
      <c r="L896" t="n">
        <v>1</v>
      </c>
      <c r="M896" t="n">
        <v>0</v>
      </c>
    </row>
    <row r="897" spans="1:13">
      <c r="A897" s="1">
        <f>HYPERLINK("http://www.twitter.com/NathanBLawrence/status/995874844838313984", "995874844838313984")</f>
        <v/>
      </c>
      <c r="B897" s="2" t="n">
        <v>43234.1625</v>
      </c>
      <c r="C897" t="n">
        <v>0</v>
      </c>
      <c r="D897" t="n">
        <v>5</v>
      </c>
      <c r="E897" t="s">
        <v>907</v>
      </c>
      <c r="F897">
        <f>HYPERLINK("http://pbs.twimg.com/media/DdF8WP9VwAA-C67.jpg", "http://pbs.twimg.com/media/DdF8WP9VwAA-C67.jpg")</f>
        <v/>
      </c>
      <c r="G897" t="s"/>
      <c r="H897" t="s"/>
      <c r="I897" t="s"/>
      <c r="J897" t="n">
        <v>0</v>
      </c>
      <c r="K897" t="n">
        <v>0</v>
      </c>
      <c r="L897" t="n">
        <v>1</v>
      </c>
      <c r="M897" t="n">
        <v>0</v>
      </c>
    </row>
    <row r="898" spans="1:13">
      <c r="A898" s="1">
        <f>HYPERLINK("http://www.twitter.com/NathanBLawrence/status/995874817038368773", "995874817038368773")</f>
        <v/>
      </c>
      <c r="B898" s="2" t="n">
        <v>43234.16241898148</v>
      </c>
      <c r="C898" t="n">
        <v>0</v>
      </c>
      <c r="D898" t="n">
        <v>2</v>
      </c>
      <c r="E898" t="s">
        <v>908</v>
      </c>
      <c r="F898" t="s"/>
      <c r="G898" t="s"/>
      <c r="H898" t="s"/>
      <c r="I898" t="s"/>
      <c r="J898" t="n">
        <v>0</v>
      </c>
      <c r="K898" t="n">
        <v>0</v>
      </c>
      <c r="L898" t="n">
        <v>1</v>
      </c>
      <c r="M898" t="n">
        <v>0</v>
      </c>
    </row>
    <row r="899" spans="1:13">
      <c r="A899" s="1">
        <f>HYPERLINK("http://www.twitter.com/NathanBLawrence/status/995874370844114944", "995874370844114944")</f>
        <v/>
      </c>
      <c r="B899" s="2" t="n">
        <v>43234.16119212963</v>
      </c>
      <c r="C899" t="n">
        <v>0</v>
      </c>
      <c r="D899" t="n">
        <v>9</v>
      </c>
      <c r="E899" t="s">
        <v>909</v>
      </c>
      <c r="F899" t="s"/>
      <c r="G899" t="s"/>
      <c r="H899" t="s"/>
      <c r="I899" t="s"/>
      <c r="J899" t="n">
        <v>0</v>
      </c>
      <c r="K899" t="n">
        <v>0</v>
      </c>
      <c r="L899" t="n">
        <v>1</v>
      </c>
      <c r="M899" t="n">
        <v>0</v>
      </c>
    </row>
    <row r="900" spans="1:13">
      <c r="A900" s="1">
        <f>HYPERLINK("http://www.twitter.com/NathanBLawrence/status/995874349918769153", "995874349918769153")</f>
        <v/>
      </c>
      <c r="B900" s="2" t="n">
        <v>43234.16113425926</v>
      </c>
      <c r="C900" t="n">
        <v>0</v>
      </c>
      <c r="D900" t="n">
        <v>9</v>
      </c>
      <c r="E900" t="s">
        <v>910</v>
      </c>
      <c r="F900" t="s"/>
      <c r="G900" t="s"/>
      <c r="H900" t="s"/>
      <c r="I900" t="s"/>
      <c r="J900" t="n">
        <v>0</v>
      </c>
      <c r="K900" t="n">
        <v>0</v>
      </c>
      <c r="L900" t="n">
        <v>1</v>
      </c>
      <c r="M900" t="n">
        <v>0</v>
      </c>
    </row>
    <row r="901" spans="1:13">
      <c r="A901" s="1">
        <f>HYPERLINK("http://www.twitter.com/NathanBLawrence/status/995865059753635841", "995865059753635841")</f>
        <v/>
      </c>
      <c r="B901" s="2" t="n">
        <v>43234.13549768519</v>
      </c>
      <c r="C901" t="n">
        <v>0</v>
      </c>
      <c r="D901" t="n">
        <v>121</v>
      </c>
      <c r="E901" t="s">
        <v>911</v>
      </c>
      <c r="F901">
        <f>HYPERLINK("https://video.twimg.com/ext_tw_video/995718129442488320/pu/vid/1168x720/5QLcoNYNU6qAIuwH.mp4?tag=3", "https://video.twimg.com/ext_tw_video/995718129442488320/pu/vid/1168x720/5QLcoNYNU6qAIuwH.mp4?tag=3")</f>
        <v/>
      </c>
      <c r="G901" t="s"/>
      <c r="H901" t="s"/>
      <c r="I901" t="s"/>
      <c r="J901" t="n">
        <v>0</v>
      </c>
      <c r="K901" t="n">
        <v>0</v>
      </c>
      <c r="L901" t="n">
        <v>1</v>
      </c>
      <c r="M901" t="n">
        <v>0</v>
      </c>
    </row>
    <row r="902" spans="1:13">
      <c r="A902" s="1">
        <f>HYPERLINK("http://www.twitter.com/NathanBLawrence/status/995864901460676608", "995864901460676608")</f>
        <v/>
      </c>
      <c r="B902" s="2" t="n">
        <v>43234.13505787037</v>
      </c>
      <c r="C902" t="n">
        <v>0</v>
      </c>
      <c r="D902" t="n">
        <v>1077</v>
      </c>
      <c r="E902" t="s">
        <v>912</v>
      </c>
      <c r="F902">
        <f>HYPERLINK("http://pbs.twimg.com/media/DdHH110W0AAKCWO.jpg", "http://pbs.twimg.com/media/DdHH110W0AAKCWO.jpg")</f>
        <v/>
      </c>
      <c r="G902">
        <f>HYPERLINK("http://pbs.twimg.com/media/DdHH11oXcAg6Hsa.jpg", "http://pbs.twimg.com/media/DdHH11oXcAg6Hsa.jpg")</f>
        <v/>
      </c>
      <c r="H902">
        <f>HYPERLINK("http://pbs.twimg.com/media/DdHH11oWAAAQtCl.jpg", "http://pbs.twimg.com/media/DdHH11oWAAAQtCl.jpg")</f>
        <v/>
      </c>
      <c r="I902" t="s"/>
      <c r="J902" t="n">
        <v>0.802</v>
      </c>
      <c r="K902" t="n">
        <v>0</v>
      </c>
      <c r="L902" t="n">
        <v>0.719</v>
      </c>
      <c r="M902" t="n">
        <v>0.281</v>
      </c>
    </row>
    <row r="903" spans="1:13">
      <c r="A903" s="1">
        <f>HYPERLINK("http://www.twitter.com/NathanBLawrence/status/995864750587367426", "995864750587367426")</f>
        <v/>
      </c>
      <c r="B903" s="2" t="n">
        <v>43234.1346412037</v>
      </c>
      <c r="C903" t="n">
        <v>0</v>
      </c>
      <c r="D903" t="n">
        <v>227</v>
      </c>
      <c r="E903" t="s">
        <v>913</v>
      </c>
      <c r="F903" t="s"/>
      <c r="G903" t="s"/>
      <c r="H903" t="s"/>
      <c r="I903" t="s"/>
      <c r="J903" t="n">
        <v>0</v>
      </c>
      <c r="K903" t="n">
        <v>0</v>
      </c>
      <c r="L903" t="n">
        <v>1</v>
      </c>
      <c r="M903" t="n">
        <v>0</v>
      </c>
    </row>
    <row r="904" spans="1:13">
      <c r="A904" s="1">
        <f>HYPERLINK("http://www.twitter.com/NathanBLawrence/status/995864424056590337", "995864424056590337")</f>
        <v/>
      </c>
      <c r="B904" s="2" t="n">
        <v>43234.13373842592</v>
      </c>
      <c r="C904" t="n">
        <v>0</v>
      </c>
      <c r="D904" t="n">
        <v>21</v>
      </c>
      <c r="E904" t="s">
        <v>914</v>
      </c>
      <c r="F904" t="s"/>
      <c r="G904" t="s"/>
      <c r="H904" t="s"/>
      <c r="I904" t="s"/>
      <c r="J904" t="n">
        <v>0.1027</v>
      </c>
      <c r="K904" t="n">
        <v>0</v>
      </c>
      <c r="L904" t="n">
        <v>0.903</v>
      </c>
      <c r="M904" t="n">
        <v>0.097</v>
      </c>
    </row>
    <row r="905" spans="1:13">
      <c r="A905" s="1">
        <f>HYPERLINK("http://www.twitter.com/NathanBLawrence/status/995864166421364736", "995864166421364736")</f>
        <v/>
      </c>
      <c r="B905" s="2" t="n">
        <v>43234.13303240741</v>
      </c>
      <c r="C905" t="n">
        <v>0</v>
      </c>
      <c r="D905" t="n">
        <v>6</v>
      </c>
      <c r="E905" t="s">
        <v>915</v>
      </c>
      <c r="F905" t="s"/>
      <c r="G905" t="s"/>
      <c r="H905" t="s"/>
      <c r="I905" t="s"/>
      <c r="J905" t="n">
        <v>0</v>
      </c>
      <c r="K905" t="n">
        <v>0</v>
      </c>
      <c r="L905" t="n">
        <v>1</v>
      </c>
      <c r="M905" t="n">
        <v>0</v>
      </c>
    </row>
    <row r="906" spans="1:13">
      <c r="A906" s="1">
        <f>HYPERLINK("http://www.twitter.com/NathanBLawrence/status/995864141528264704", "995864141528264704")</f>
        <v/>
      </c>
      <c r="B906" s="2" t="n">
        <v>43234.13296296296</v>
      </c>
      <c r="C906" t="n">
        <v>0</v>
      </c>
      <c r="D906" t="n">
        <v>14</v>
      </c>
      <c r="E906" t="s">
        <v>916</v>
      </c>
      <c r="F906">
        <f>HYPERLINK("http://pbs.twimg.com/media/DdHgHhPVMAA-zIf.jpg", "http://pbs.twimg.com/media/DdHgHhPVMAA-zIf.jpg")</f>
        <v/>
      </c>
      <c r="G906" t="s"/>
      <c r="H906" t="s"/>
      <c r="I906" t="s"/>
      <c r="J906" t="n">
        <v>0.4548</v>
      </c>
      <c r="K906" t="n">
        <v>0.055</v>
      </c>
      <c r="L906" t="n">
        <v>0.803</v>
      </c>
      <c r="M906" t="n">
        <v>0.143</v>
      </c>
    </row>
    <row r="907" spans="1:13">
      <c r="A907" s="1">
        <f>HYPERLINK("http://www.twitter.com/NathanBLawrence/status/995863111809748992", "995863111809748992")</f>
        <v/>
      </c>
      <c r="B907" s="2" t="n">
        <v>43234.13011574074</v>
      </c>
      <c r="C907" t="n">
        <v>0</v>
      </c>
      <c r="D907" t="n">
        <v>547</v>
      </c>
      <c r="E907" t="s">
        <v>917</v>
      </c>
      <c r="F907">
        <f>HYPERLINK("http://pbs.twimg.com/media/DdFPvj3UQAAQVcE.jpg", "http://pbs.twimg.com/media/DdFPvj3UQAAQVcE.jpg")</f>
        <v/>
      </c>
      <c r="G907" t="s"/>
      <c r="H907" t="s"/>
      <c r="I907" t="s"/>
      <c r="J907" t="n">
        <v>0.3182</v>
      </c>
      <c r="K907" t="n">
        <v>0</v>
      </c>
      <c r="L907" t="n">
        <v>0.723</v>
      </c>
      <c r="M907" t="n">
        <v>0.277</v>
      </c>
    </row>
    <row r="908" spans="1:13">
      <c r="A908" s="1">
        <f>HYPERLINK("http://www.twitter.com/NathanBLawrence/status/995863010013949952", "995863010013949952")</f>
        <v/>
      </c>
      <c r="B908" s="2" t="n">
        <v>43234.12983796297</v>
      </c>
      <c r="C908" t="n">
        <v>0</v>
      </c>
      <c r="D908" t="n">
        <v>127</v>
      </c>
      <c r="E908" t="s">
        <v>918</v>
      </c>
      <c r="F908" t="s"/>
      <c r="G908" t="s"/>
      <c r="H908" t="s"/>
      <c r="I908" t="s"/>
      <c r="J908" t="n">
        <v>0.7717000000000001</v>
      </c>
      <c r="K908" t="n">
        <v>0</v>
      </c>
      <c r="L908" t="n">
        <v>0.749</v>
      </c>
      <c r="M908" t="n">
        <v>0.251</v>
      </c>
    </row>
    <row r="909" spans="1:13">
      <c r="A909" s="1">
        <f>HYPERLINK("http://www.twitter.com/NathanBLawrence/status/995862959560605696", "995862959560605696")</f>
        <v/>
      </c>
      <c r="B909" s="2" t="n">
        <v>43234.12969907407</v>
      </c>
      <c r="C909" t="n">
        <v>0</v>
      </c>
      <c r="D909" t="n">
        <v>1266</v>
      </c>
      <c r="E909" t="s">
        <v>919</v>
      </c>
      <c r="F909" t="s"/>
      <c r="G909" t="s"/>
      <c r="H909" t="s"/>
      <c r="I909" t="s"/>
      <c r="J909" t="n">
        <v>0</v>
      </c>
      <c r="K909" t="n">
        <v>0</v>
      </c>
      <c r="L909" t="n">
        <v>1</v>
      </c>
      <c r="M909" t="n">
        <v>0</v>
      </c>
    </row>
    <row r="910" spans="1:13">
      <c r="A910" s="1">
        <f>HYPERLINK("http://www.twitter.com/NathanBLawrence/status/995862919765110785", "995862919765110785")</f>
        <v/>
      </c>
      <c r="B910" s="2" t="n">
        <v>43234.12958333334</v>
      </c>
      <c r="C910" t="n">
        <v>0</v>
      </c>
      <c r="D910" t="n">
        <v>7955</v>
      </c>
      <c r="E910" t="s">
        <v>920</v>
      </c>
      <c r="F910" t="s"/>
      <c r="G910" t="s"/>
      <c r="H910" t="s"/>
      <c r="I910" t="s"/>
      <c r="J910" t="n">
        <v>-0.128</v>
      </c>
      <c r="K910" t="n">
        <v>0.148</v>
      </c>
      <c r="L910" t="n">
        <v>0.756</v>
      </c>
      <c r="M910" t="n">
        <v>0.096</v>
      </c>
    </row>
    <row r="911" spans="1:13">
      <c r="A911" s="1">
        <f>HYPERLINK("http://www.twitter.com/NathanBLawrence/status/995862841969201152", "995862841969201152")</f>
        <v/>
      </c>
      <c r="B911" s="2" t="n">
        <v>43234.129375</v>
      </c>
      <c r="C911" t="n">
        <v>0</v>
      </c>
      <c r="D911" t="n">
        <v>449</v>
      </c>
      <c r="E911" t="s">
        <v>921</v>
      </c>
      <c r="F911" t="s"/>
      <c r="G911" t="s"/>
      <c r="H911" t="s"/>
      <c r="I911" t="s"/>
      <c r="J911" t="n">
        <v>0.9435</v>
      </c>
      <c r="K911" t="n">
        <v>0</v>
      </c>
      <c r="L911" t="n">
        <v>0.433</v>
      </c>
      <c r="M911" t="n">
        <v>0.5669999999999999</v>
      </c>
    </row>
    <row r="912" spans="1:13">
      <c r="A912" s="1">
        <f>HYPERLINK("http://www.twitter.com/NathanBLawrence/status/995862774218608640", "995862774218608640")</f>
        <v/>
      </c>
      <c r="B912" s="2" t="n">
        <v>43234.12918981481</v>
      </c>
      <c r="C912" t="n">
        <v>0</v>
      </c>
      <c r="D912" t="n">
        <v>12244</v>
      </c>
      <c r="E912" t="s">
        <v>922</v>
      </c>
      <c r="F912" t="s"/>
      <c r="G912" t="s"/>
      <c r="H912" t="s"/>
      <c r="I912" t="s"/>
      <c r="J912" t="n">
        <v>0.7351</v>
      </c>
      <c r="K912" t="n">
        <v>0</v>
      </c>
      <c r="L912" t="n">
        <v>0.735</v>
      </c>
      <c r="M912" t="n">
        <v>0.265</v>
      </c>
    </row>
    <row r="913" spans="1:13">
      <c r="A913" s="1">
        <f>HYPERLINK("http://www.twitter.com/NathanBLawrence/status/995862598984679424", "995862598984679424")</f>
        <v/>
      </c>
      <c r="B913" s="2" t="n">
        <v>43234.1287037037</v>
      </c>
      <c r="C913" t="n">
        <v>0</v>
      </c>
      <c r="D913" t="n">
        <v>2</v>
      </c>
      <c r="E913" t="s">
        <v>923</v>
      </c>
      <c r="F913">
        <f>HYPERLINK("http://pbs.twimg.com/media/DdFf4ziUwAg1_Wk.jpg", "http://pbs.twimg.com/media/DdFf4ziUwAg1_Wk.jpg")</f>
        <v/>
      </c>
      <c r="G913" t="s"/>
      <c r="H913" t="s"/>
      <c r="I913" t="s"/>
      <c r="J913" t="n">
        <v>-0.2263</v>
      </c>
      <c r="K913" t="n">
        <v>0.161</v>
      </c>
      <c r="L913" t="n">
        <v>0.712</v>
      </c>
      <c r="M913" t="n">
        <v>0.127</v>
      </c>
    </row>
    <row r="914" spans="1:13">
      <c r="A914" s="1">
        <f>HYPERLINK("http://www.twitter.com/NathanBLawrence/status/995862229030395904", "995862229030395904")</f>
        <v/>
      </c>
      <c r="B914" s="2" t="n">
        <v>43234.12768518519</v>
      </c>
      <c r="C914" t="n">
        <v>0</v>
      </c>
      <c r="D914" t="n">
        <v>0</v>
      </c>
      <c r="E914" t="s">
        <v>924</v>
      </c>
      <c r="F914" t="s"/>
      <c r="G914" t="s"/>
      <c r="H914" t="s"/>
      <c r="I914" t="s"/>
      <c r="J914" t="n">
        <v>-0.9087</v>
      </c>
      <c r="K914" t="n">
        <v>0.282</v>
      </c>
      <c r="L914" t="n">
        <v>0.648</v>
      </c>
      <c r="M914" t="n">
        <v>0.07000000000000001</v>
      </c>
    </row>
    <row r="915" spans="1:13">
      <c r="A915" s="1">
        <f>HYPERLINK("http://www.twitter.com/NathanBLawrence/status/995861119234293760", "995861119234293760")</f>
        <v/>
      </c>
      <c r="B915" s="2" t="n">
        <v>43234.12461805555</v>
      </c>
      <c r="C915" t="n">
        <v>1</v>
      </c>
      <c r="D915" t="n">
        <v>0</v>
      </c>
      <c r="E915" t="s">
        <v>925</v>
      </c>
      <c r="F915" t="s"/>
      <c r="G915" t="s"/>
      <c r="H915" t="s"/>
      <c r="I915" t="s"/>
      <c r="J915" t="n">
        <v>-0.9341</v>
      </c>
      <c r="K915" t="n">
        <v>0.319</v>
      </c>
      <c r="L915" t="n">
        <v>0.613</v>
      </c>
      <c r="M915" t="n">
        <v>0.068</v>
      </c>
    </row>
    <row r="916" spans="1:13">
      <c r="A916" s="1">
        <f>HYPERLINK("http://www.twitter.com/NathanBLawrence/status/995857647331983360", "995857647331983360")</f>
        <v/>
      </c>
      <c r="B916" s="2" t="n">
        <v>43234.11503472222</v>
      </c>
      <c r="C916" t="n">
        <v>0</v>
      </c>
      <c r="D916" t="n">
        <v>0</v>
      </c>
      <c r="E916" t="s">
        <v>926</v>
      </c>
      <c r="F916">
        <f>HYPERLINK("http://pbs.twimg.com/media/DdH-3njVMAAe37b.jpg", "http://pbs.twimg.com/media/DdH-3njVMAAe37b.jpg")</f>
        <v/>
      </c>
      <c r="G916">
        <f>HYPERLINK("http://pbs.twimg.com/media/DdH--emUwAAUQNp.jpg", "http://pbs.twimg.com/media/DdH--emUwAAUQNp.jpg")</f>
        <v/>
      </c>
      <c r="H916">
        <f>HYPERLINK("http://pbs.twimg.com/media/DdH_EG8VwAAjO-M.jpg", "http://pbs.twimg.com/media/DdH_EG8VwAAjO-M.jpg")</f>
        <v/>
      </c>
      <c r="I916">
        <f>HYPERLINK("http://pbs.twimg.com/media/DdH_JNgVwAAOLXI.jpg", "http://pbs.twimg.com/media/DdH_JNgVwAAOLXI.jpg")</f>
        <v/>
      </c>
      <c r="J916" t="n">
        <v>-0.8172</v>
      </c>
      <c r="K916" t="n">
        <v>0.272</v>
      </c>
      <c r="L916" t="n">
        <v>0.585</v>
      </c>
      <c r="M916" t="n">
        <v>0.143</v>
      </c>
    </row>
    <row r="917" spans="1:13">
      <c r="A917" s="1">
        <f>HYPERLINK("http://www.twitter.com/NathanBLawrence/status/995852871567527936", "995852871567527936")</f>
        <v/>
      </c>
      <c r="B917" s="2" t="n">
        <v>43234.10186342592</v>
      </c>
      <c r="C917" t="n">
        <v>0</v>
      </c>
      <c r="D917" t="n">
        <v>10506</v>
      </c>
      <c r="E917" t="s">
        <v>927</v>
      </c>
      <c r="F917">
        <f>HYPERLINK("http://pbs.twimg.com/media/DdFl0JEX0AAp1zx.jpg", "http://pbs.twimg.com/media/DdFl0JEX0AAp1zx.jpg")</f>
        <v/>
      </c>
      <c r="G917" t="s"/>
      <c r="H917" t="s"/>
      <c r="I917" t="s"/>
      <c r="J917" t="n">
        <v>0.6114000000000001</v>
      </c>
      <c r="K917" t="n">
        <v>0</v>
      </c>
      <c r="L917" t="n">
        <v>0.556</v>
      </c>
      <c r="M917" t="n">
        <v>0.444</v>
      </c>
    </row>
    <row r="918" spans="1:13">
      <c r="A918" s="1">
        <f>HYPERLINK("http://www.twitter.com/NathanBLawrence/status/995852786104348674", "995852786104348674")</f>
        <v/>
      </c>
      <c r="B918" s="2" t="n">
        <v>43234.10162037037</v>
      </c>
      <c r="C918" t="n">
        <v>0</v>
      </c>
      <c r="D918" t="n">
        <v>3676</v>
      </c>
      <c r="E918" t="s">
        <v>928</v>
      </c>
      <c r="F918" t="s"/>
      <c r="G918" t="s"/>
      <c r="H918" t="s"/>
      <c r="I918" t="s"/>
      <c r="J918" t="n">
        <v>0</v>
      </c>
      <c r="K918" t="n">
        <v>0</v>
      </c>
      <c r="L918" t="n">
        <v>1</v>
      </c>
      <c r="M918" t="n">
        <v>0</v>
      </c>
    </row>
    <row r="919" spans="1:13">
      <c r="A919" s="1">
        <f>HYPERLINK("http://www.twitter.com/NathanBLawrence/status/995852714843123713", "995852714843123713")</f>
        <v/>
      </c>
      <c r="B919" s="2" t="n">
        <v>43234.10142361111</v>
      </c>
      <c r="C919" t="n">
        <v>0</v>
      </c>
      <c r="D919" t="n">
        <v>30009</v>
      </c>
      <c r="E919" t="s">
        <v>929</v>
      </c>
      <c r="F919">
        <f>HYPERLINK("https://video.twimg.com/ext_tw_video/995641981895413760/pu/vid/1280x720/9k3XSGe-onEF0kwQ.mp4?tag=3", "https://video.twimg.com/ext_tw_video/995641981895413760/pu/vid/1280x720/9k3XSGe-onEF0kwQ.mp4?tag=3")</f>
        <v/>
      </c>
      <c r="G919" t="s"/>
      <c r="H919" t="s"/>
      <c r="I919" t="s"/>
      <c r="J919" t="n">
        <v>0.6784</v>
      </c>
      <c r="K919" t="n">
        <v>0</v>
      </c>
      <c r="L919" t="n">
        <v>0.522</v>
      </c>
      <c r="M919" t="n">
        <v>0.478</v>
      </c>
    </row>
    <row r="920" spans="1:13">
      <c r="A920" s="1">
        <f>HYPERLINK("http://www.twitter.com/NathanBLawrence/status/995852567304224768", "995852567304224768")</f>
        <v/>
      </c>
      <c r="B920" s="2" t="n">
        <v>43234.10101851852</v>
      </c>
      <c r="C920" t="n">
        <v>0</v>
      </c>
      <c r="D920" t="n">
        <v>2992</v>
      </c>
      <c r="E920" t="s">
        <v>930</v>
      </c>
      <c r="F920">
        <f>HYPERLINK("http://pbs.twimg.com/media/DdE6X8tV4AEXgll.jpg", "http://pbs.twimg.com/media/DdE6X8tV4AEXgll.jpg")</f>
        <v/>
      </c>
      <c r="G920">
        <f>HYPERLINK("http://pbs.twimg.com/media/DdE6X8uVQAAK4Z0.jpg", "http://pbs.twimg.com/media/DdE6X8uVQAAK4Z0.jpg")</f>
        <v/>
      </c>
      <c r="H920">
        <f>HYPERLINK("http://pbs.twimg.com/media/DdE6X8tUQAA8Ij2.jpg", "http://pbs.twimg.com/media/DdE6X8tUQAA8Ij2.jpg")</f>
        <v/>
      </c>
      <c r="I920">
        <f>HYPERLINK("http://pbs.twimg.com/media/DdE6X8vVwAAcoOc.jpg", "http://pbs.twimg.com/media/DdE6X8vVwAAcoOc.jpg")</f>
        <v/>
      </c>
      <c r="J920" t="n">
        <v>0.926</v>
      </c>
      <c r="K920" t="n">
        <v>0</v>
      </c>
      <c r="L920" t="n">
        <v>0.585</v>
      </c>
      <c r="M920" t="n">
        <v>0.415</v>
      </c>
    </row>
    <row r="921" spans="1:13">
      <c r="A921" s="1">
        <f>HYPERLINK("http://www.twitter.com/NathanBLawrence/status/995852214332616704", "995852214332616704")</f>
        <v/>
      </c>
      <c r="B921" s="2" t="n">
        <v>43234.1000462963</v>
      </c>
      <c r="C921" t="n">
        <v>0</v>
      </c>
      <c r="D921" t="n">
        <v>780</v>
      </c>
      <c r="E921" t="s">
        <v>931</v>
      </c>
      <c r="F921" t="s"/>
      <c r="G921" t="s"/>
      <c r="H921" t="s"/>
      <c r="I921" t="s"/>
      <c r="J921" t="n">
        <v>-0.4588</v>
      </c>
      <c r="K921" t="n">
        <v>0.15</v>
      </c>
      <c r="L921" t="n">
        <v>0.85</v>
      </c>
      <c r="M921" t="n">
        <v>0</v>
      </c>
    </row>
    <row r="922" spans="1:13">
      <c r="A922" s="1">
        <f>HYPERLINK("http://www.twitter.com/NathanBLawrence/status/995832273386856453", "995832273386856453")</f>
        <v/>
      </c>
      <c r="B922" s="2" t="n">
        <v>43234.04502314814</v>
      </c>
      <c r="C922" t="n">
        <v>0</v>
      </c>
      <c r="D922" t="n">
        <v>4368</v>
      </c>
      <c r="E922" t="s">
        <v>932</v>
      </c>
      <c r="F922" t="s"/>
      <c r="G922" t="s"/>
      <c r="H922" t="s"/>
      <c r="I922" t="s"/>
      <c r="J922" t="n">
        <v>0</v>
      </c>
      <c r="K922" t="n">
        <v>0</v>
      </c>
      <c r="L922" t="n">
        <v>1</v>
      </c>
      <c r="M922" t="n">
        <v>0</v>
      </c>
    </row>
    <row r="923" spans="1:13">
      <c r="A923" s="1">
        <f>HYPERLINK("http://www.twitter.com/NathanBLawrence/status/995832096638865408", "995832096638865408")</f>
        <v/>
      </c>
      <c r="B923" s="2" t="n">
        <v>43234.04453703704</v>
      </c>
      <c r="C923" t="n">
        <v>0</v>
      </c>
      <c r="D923" t="n">
        <v>3748</v>
      </c>
      <c r="E923" t="s">
        <v>933</v>
      </c>
      <c r="F923" t="s"/>
      <c r="G923" t="s"/>
      <c r="H923" t="s"/>
      <c r="I923" t="s"/>
      <c r="J923" t="n">
        <v>-0.296</v>
      </c>
      <c r="K923" t="n">
        <v>0.08699999999999999</v>
      </c>
      <c r="L923" t="n">
        <v>0.913</v>
      </c>
      <c r="M923" t="n">
        <v>0</v>
      </c>
    </row>
    <row r="924" spans="1:13">
      <c r="A924" s="1">
        <f>HYPERLINK("http://www.twitter.com/NathanBLawrence/status/995821283278573570", "995821283278573570")</f>
        <v/>
      </c>
      <c r="B924" s="2" t="n">
        <v>43234.01469907408</v>
      </c>
      <c r="C924" t="n">
        <v>0</v>
      </c>
      <c r="D924" t="n">
        <v>3592</v>
      </c>
      <c r="E924" t="s">
        <v>934</v>
      </c>
      <c r="F924" t="s"/>
      <c r="G924" t="s"/>
      <c r="H924" t="s"/>
      <c r="I924" t="s"/>
      <c r="J924" t="n">
        <v>0</v>
      </c>
      <c r="K924" t="n">
        <v>0</v>
      </c>
      <c r="L924" t="n">
        <v>1</v>
      </c>
      <c r="M924" t="n">
        <v>0</v>
      </c>
    </row>
    <row r="925" spans="1:13">
      <c r="A925" s="1">
        <f>HYPERLINK("http://www.twitter.com/NathanBLawrence/status/995820650311966720", "995820650311966720")</f>
        <v/>
      </c>
      <c r="B925" s="2" t="n">
        <v>43234.01295138889</v>
      </c>
      <c r="C925" t="n">
        <v>0</v>
      </c>
      <c r="D925" t="n">
        <v>4254</v>
      </c>
      <c r="E925" t="s">
        <v>935</v>
      </c>
      <c r="F925">
        <f>HYPERLINK("https://video.twimg.com/ext_tw_video/995772598863712257/pu/vid/720x1280/b1XNOEbWBUVlv8Lr.mp4?tag=3", "https://video.twimg.com/ext_tw_video/995772598863712257/pu/vid/720x1280/b1XNOEbWBUVlv8Lr.mp4?tag=3")</f>
        <v/>
      </c>
      <c r="G925" t="s"/>
      <c r="H925" t="s"/>
      <c r="I925" t="s"/>
      <c r="J925" t="n">
        <v>0</v>
      </c>
      <c r="K925" t="n">
        <v>0</v>
      </c>
      <c r="L925" t="n">
        <v>1</v>
      </c>
      <c r="M925" t="n">
        <v>0</v>
      </c>
    </row>
    <row r="926" spans="1:13">
      <c r="A926" s="1">
        <f>HYPERLINK("http://www.twitter.com/NathanBLawrence/status/995820564949463040", "995820564949463040")</f>
        <v/>
      </c>
      <c r="B926" s="2" t="n">
        <v>43234.01270833334</v>
      </c>
      <c r="C926" t="n">
        <v>0</v>
      </c>
      <c r="D926" t="n">
        <v>4690</v>
      </c>
      <c r="E926" t="s">
        <v>936</v>
      </c>
      <c r="F926" t="s"/>
      <c r="G926" t="s"/>
      <c r="H926" t="s"/>
      <c r="I926" t="s"/>
      <c r="J926" t="n">
        <v>-0.9042</v>
      </c>
      <c r="K926" t="n">
        <v>0.427</v>
      </c>
      <c r="L926" t="n">
        <v>0.485</v>
      </c>
      <c r="M926" t="n">
        <v>0.08799999999999999</v>
      </c>
    </row>
    <row r="927" spans="1:13">
      <c r="A927" s="1">
        <f>HYPERLINK("http://www.twitter.com/NathanBLawrence/status/995820422007590912", "995820422007590912")</f>
        <v/>
      </c>
      <c r="B927" s="2" t="n">
        <v>43234.01231481481</v>
      </c>
      <c r="C927" t="n">
        <v>0</v>
      </c>
      <c r="D927" t="n">
        <v>690</v>
      </c>
      <c r="E927" t="s">
        <v>937</v>
      </c>
      <c r="F927" t="s"/>
      <c r="G927" t="s"/>
      <c r="H927" t="s"/>
      <c r="I927" t="s"/>
      <c r="J927" t="n">
        <v>-0.5423</v>
      </c>
      <c r="K927" t="n">
        <v>0.226</v>
      </c>
      <c r="L927" t="n">
        <v>0.774</v>
      </c>
      <c r="M927" t="n">
        <v>0</v>
      </c>
    </row>
    <row r="928" spans="1:13">
      <c r="A928" s="1">
        <f>HYPERLINK("http://www.twitter.com/NathanBLawrence/status/995820356471590912", "995820356471590912")</f>
        <v/>
      </c>
      <c r="B928" s="2" t="n">
        <v>43234.0121412037</v>
      </c>
      <c r="C928" t="n">
        <v>0</v>
      </c>
      <c r="D928" t="n">
        <v>4925</v>
      </c>
      <c r="E928" t="s">
        <v>938</v>
      </c>
      <c r="F928" t="s"/>
      <c r="G928" t="s"/>
      <c r="H928" t="s"/>
      <c r="I928" t="s"/>
      <c r="J928" t="n">
        <v>-0.6705</v>
      </c>
      <c r="K928" t="n">
        <v>0.216</v>
      </c>
      <c r="L928" t="n">
        <v>0.784</v>
      </c>
      <c r="M928" t="n">
        <v>0</v>
      </c>
    </row>
    <row r="929" spans="1:13">
      <c r="A929" s="1">
        <f>HYPERLINK("http://www.twitter.com/NathanBLawrence/status/995750320713158656", "995750320713158656")</f>
        <v/>
      </c>
      <c r="B929" s="2" t="n">
        <v>43233.81887731481</v>
      </c>
      <c r="C929" t="n">
        <v>0</v>
      </c>
      <c r="D929" t="n">
        <v>0</v>
      </c>
      <c r="E929" t="s">
        <v>939</v>
      </c>
      <c r="F929" t="s"/>
      <c r="G929" t="s"/>
      <c r="H929" t="s"/>
      <c r="I929" t="s"/>
      <c r="J929" t="n">
        <v>-0.4389</v>
      </c>
      <c r="K929" t="n">
        <v>0.42</v>
      </c>
      <c r="L929" t="n">
        <v>0.58</v>
      </c>
      <c r="M929" t="n">
        <v>0</v>
      </c>
    </row>
    <row r="930" spans="1:13">
      <c r="A930" s="1">
        <f>HYPERLINK("http://www.twitter.com/NathanBLawrence/status/995748718174449667", "995748718174449667")</f>
        <v/>
      </c>
      <c r="B930" s="2" t="n">
        <v>43233.81445601852</v>
      </c>
      <c r="C930" t="n">
        <v>0</v>
      </c>
      <c r="D930" t="n">
        <v>673</v>
      </c>
      <c r="E930" t="s">
        <v>940</v>
      </c>
      <c r="F930" t="s"/>
      <c r="G930" t="s"/>
      <c r="H930" t="s"/>
      <c r="I930" t="s"/>
      <c r="J930" t="n">
        <v>-0.6597</v>
      </c>
      <c r="K930" t="n">
        <v>0.259</v>
      </c>
      <c r="L930" t="n">
        <v>0.6820000000000001</v>
      </c>
      <c r="M930" t="n">
        <v>0.059</v>
      </c>
    </row>
    <row r="931" spans="1:13">
      <c r="A931" s="1">
        <f>HYPERLINK("http://www.twitter.com/NathanBLawrence/status/995521108274171904", "995521108274171904")</f>
        <v/>
      </c>
      <c r="B931" s="2" t="n">
        <v>43233.18636574074</v>
      </c>
      <c r="C931" t="n">
        <v>0</v>
      </c>
      <c r="D931" t="n">
        <v>7</v>
      </c>
      <c r="E931" t="s">
        <v>941</v>
      </c>
      <c r="F931" t="s"/>
      <c r="G931" t="s"/>
      <c r="H931" t="s"/>
      <c r="I931" t="s"/>
      <c r="J931" t="n">
        <v>0</v>
      </c>
      <c r="K931" t="n">
        <v>0</v>
      </c>
      <c r="L931" t="n">
        <v>1</v>
      </c>
      <c r="M931" t="n">
        <v>0</v>
      </c>
    </row>
    <row r="932" spans="1:13">
      <c r="A932" s="1">
        <f>HYPERLINK("http://www.twitter.com/NathanBLawrence/status/995518530677227520", "995518530677227520")</f>
        <v/>
      </c>
      <c r="B932" s="2" t="n">
        <v>43233.17925925926</v>
      </c>
      <c r="C932" t="n">
        <v>0</v>
      </c>
      <c r="D932" t="n">
        <v>1</v>
      </c>
      <c r="E932" t="s">
        <v>942</v>
      </c>
      <c r="F932" t="s"/>
      <c r="G932" t="s"/>
      <c r="H932" t="s"/>
      <c r="I932" t="s"/>
      <c r="J932" t="n">
        <v>0.8069</v>
      </c>
      <c r="K932" t="n">
        <v>0</v>
      </c>
      <c r="L932" t="n">
        <v>0.733</v>
      </c>
      <c r="M932" t="n">
        <v>0.267</v>
      </c>
    </row>
    <row r="933" spans="1:13">
      <c r="A933" s="1">
        <f>HYPERLINK("http://www.twitter.com/NathanBLawrence/status/995518282236018688", "995518282236018688")</f>
        <v/>
      </c>
      <c r="B933" s="2" t="n">
        <v>43233.17856481481</v>
      </c>
      <c r="C933" t="n">
        <v>0</v>
      </c>
      <c r="D933" t="n">
        <v>1</v>
      </c>
      <c r="E933" t="s">
        <v>943</v>
      </c>
      <c r="F933" t="s"/>
      <c r="G933" t="s"/>
      <c r="H933" t="s"/>
      <c r="I933" t="s"/>
      <c r="J933" t="n">
        <v>0.8996</v>
      </c>
      <c r="K933" t="n">
        <v>0</v>
      </c>
      <c r="L933" t="n">
        <v>0.522</v>
      </c>
      <c r="M933" t="n">
        <v>0.478</v>
      </c>
    </row>
    <row r="934" spans="1:13">
      <c r="A934" s="1">
        <f>HYPERLINK("http://www.twitter.com/NathanBLawrence/status/995518199025168386", "995518199025168386")</f>
        <v/>
      </c>
      <c r="B934" s="2" t="n">
        <v>43233.17834490741</v>
      </c>
      <c r="C934" t="n">
        <v>0</v>
      </c>
      <c r="D934" t="n">
        <v>1</v>
      </c>
      <c r="E934" t="s">
        <v>944</v>
      </c>
      <c r="F934" t="s"/>
      <c r="G934" t="s"/>
      <c r="H934" t="s"/>
      <c r="I934" t="s"/>
      <c r="J934" t="n">
        <v>0.7772</v>
      </c>
      <c r="K934" t="n">
        <v>0</v>
      </c>
      <c r="L934" t="n">
        <v>0.57</v>
      </c>
      <c r="M934" t="n">
        <v>0.43</v>
      </c>
    </row>
    <row r="935" spans="1:13">
      <c r="A935" s="1">
        <f>HYPERLINK("http://www.twitter.com/NathanBLawrence/status/995518051117232128", "995518051117232128")</f>
        <v/>
      </c>
      <c r="B935" s="2" t="n">
        <v>43233.17792824074</v>
      </c>
      <c r="C935" t="n">
        <v>0</v>
      </c>
      <c r="D935" t="n">
        <v>1</v>
      </c>
      <c r="E935" t="s">
        <v>945</v>
      </c>
      <c r="F935" t="s"/>
      <c r="G935" t="s"/>
      <c r="H935" t="s"/>
      <c r="I935" t="s"/>
      <c r="J935" t="n">
        <v>0.5944</v>
      </c>
      <c r="K935" t="n">
        <v>0</v>
      </c>
      <c r="L935" t="n">
        <v>0.796</v>
      </c>
      <c r="M935" t="n">
        <v>0.204</v>
      </c>
    </row>
    <row r="936" spans="1:13">
      <c r="A936" s="1">
        <f>HYPERLINK("http://www.twitter.com/NathanBLawrence/status/995517877653463041", "995517877653463041")</f>
        <v/>
      </c>
      <c r="B936" s="2" t="n">
        <v>43233.17745370371</v>
      </c>
      <c r="C936" t="n">
        <v>0</v>
      </c>
      <c r="D936" t="n">
        <v>1</v>
      </c>
      <c r="E936" t="s">
        <v>946</v>
      </c>
      <c r="F936" t="s"/>
      <c r="G936" t="s"/>
      <c r="H936" t="s"/>
      <c r="I936" t="s"/>
      <c r="J936" t="n">
        <v>-0.2263</v>
      </c>
      <c r="K936" t="n">
        <v>0.195</v>
      </c>
      <c r="L936" t="n">
        <v>0.673</v>
      </c>
      <c r="M936" t="n">
        <v>0.131</v>
      </c>
    </row>
    <row r="937" spans="1:13">
      <c r="A937" s="1">
        <f>HYPERLINK("http://www.twitter.com/NathanBLawrence/status/995445608679796736", "995445608679796736")</f>
        <v/>
      </c>
      <c r="B937" s="2" t="n">
        <v>43232.97803240741</v>
      </c>
      <c r="C937" t="n">
        <v>2</v>
      </c>
      <c r="D937" t="n">
        <v>0</v>
      </c>
      <c r="E937" t="s">
        <v>947</v>
      </c>
      <c r="F937" t="s"/>
      <c r="G937" t="s"/>
      <c r="H937" t="s"/>
      <c r="I937" t="s"/>
      <c r="J937" t="n">
        <v>0.8786</v>
      </c>
      <c r="K937" t="n">
        <v>0.053</v>
      </c>
      <c r="L937" t="n">
        <v>0.594</v>
      </c>
      <c r="M937" t="n">
        <v>0.354</v>
      </c>
    </row>
    <row r="938" spans="1:13">
      <c r="A938" s="1">
        <f>HYPERLINK("http://www.twitter.com/NathanBLawrence/status/995445463171055616", "995445463171055616")</f>
        <v/>
      </c>
      <c r="B938" s="2" t="n">
        <v>43232.97762731482</v>
      </c>
      <c r="C938" t="n">
        <v>1</v>
      </c>
      <c r="D938" t="n">
        <v>0</v>
      </c>
      <c r="E938" t="s">
        <v>948</v>
      </c>
      <c r="F938" t="s"/>
      <c r="G938" t="s"/>
      <c r="H938" t="s"/>
      <c r="I938" t="s"/>
      <c r="J938" t="n">
        <v>0.8786</v>
      </c>
      <c r="K938" t="n">
        <v>0.053</v>
      </c>
      <c r="L938" t="n">
        <v>0.594</v>
      </c>
      <c r="M938" t="n">
        <v>0.354</v>
      </c>
    </row>
    <row r="939" spans="1:13">
      <c r="A939" s="1">
        <f>HYPERLINK("http://www.twitter.com/NathanBLawrence/status/995444730530971648", "995444730530971648")</f>
        <v/>
      </c>
      <c r="B939" s="2" t="n">
        <v>43232.97560185185</v>
      </c>
      <c r="C939" t="n">
        <v>0</v>
      </c>
      <c r="D939" t="n">
        <v>571</v>
      </c>
      <c r="E939" t="s">
        <v>949</v>
      </c>
      <c r="F939">
        <f>HYPERLINK("http://pbs.twimg.com/media/DdBwb-GVwAALU_7.jpg", "http://pbs.twimg.com/media/DdBwb-GVwAALU_7.jpg")</f>
        <v/>
      </c>
      <c r="G939" t="s"/>
      <c r="H939" t="s"/>
      <c r="I939" t="s"/>
      <c r="J939" t="n">
        <v>0</v>
      </c>
      <c r="K939" t="n">
        <v>0</v>
      </c>
      <c r="L939" t="n">
        <v>1</v>
      </c>
      <c r="M939" t="n">
        <v>0</v>
      </c>
    </row>
    <row r="940" spans="1:13">
      <c r="A940" s="1">
        <f>HYPERLINK("http://www.twitter.com/NathanBLawrence/status/995444689099632641", "995444689099632641")</f>
        <v/>
      </c>
      <c r="B940" s="2" t="n">
        <v>43232.97549768518</v>
      </c>
      <c r="C940" t="n">
        <v>0</v>
      </c>
      <c r="D940" t="n">
        <v>1411</v>
      </c>
      <c r="E940" t="s">
        <v>950</v>
      </c>
      <c r="F940">
        <f>HYPERLINK("http://pbs.twimg.com/media/DdBvgdJV0AAeOFe.jpg", "http://pbs.twimg.com/media/DdBvgdJV0AAeOFe.jpg")</f>
        <v/>
      </c>
      <c r="G940">
        <f>HYPERLINK("http://pbs.twimg.com/media/DdBvgdKVQAIPqqw.jpg", "http://pbs.twimg.com/media/DdBvgdKVQAIPqqw.jpg")</f>
        <v/>
      </c>
      <c r="H940">
        <f>HYPERLINK("http://pbs.twimg.com/media/DdBvgdJUwAEk0pX.jpg", "http://pbs.twimg.com/media/DdBvgdJUwAEk0pX.jpg")</f>
        <v/>
      </c>
      <c r="I940">
        <f>HYPERLINK("http://pbs.twimg.com/media/DdBvgdKU8AAOB5Z.jpg", "http://pbs.twimg.com/media/DdBvgdKU8AAOB5Z.jpg")</f>
        <v/>
      </c>
      <c r="J940" t="n">
        <v>0.836</v>
      </c>
      <c r="K940" t="n">
        <v>0</v>
      </c>
      <c r="L940" t="n">
        <v>0.744</v>
      </c>
      <c r="M940" t="n">
        <v>0.256</v>
      </c>
    </row>
    <row r="941" spans="1:13">
      <c r="A941" s="1">
        <f>HYPERLINK("http://www.twitter.com/NathanBLawrence/status/995444556626718720", "995444556626718720")</f>
        <v/>
      </c>
      <c r="B941" s="2" t="n">
        <v>43232.97512731481</v>
      </c>
      <c r="C941" t="n">
        <v>0</v>
      </c>
      <c r="D941" t="n">
        <v>2296</v>
      </c>
      <c r="E941" t="s">
        <v>951</v>
      </c>
      <c r="F941">
        <f>HYPERLINK("http://pbs.twimg.com/media/DdB7mgeX0AAWEkJ.jpg", "http://pbs.twimg.com/media/DdB7mgeX0AAWEkJ.jpg")</f>
        <v/>
      </c>
      <c r="G941" t="s"/>
      <c r="H941" t="s"/>
      <c r="I941" t="s"/>
      <c r="J941" t="n">
        <v>-0.4357</v>
      </c>
      <c r="K941" t="n">
        <v>0.126</v>
      </c>
      <c r="L941" t="n">
        <v>0.874</v>
      </c>
      <c r="M941" t="n">
        <v>0</v>
      </c>
    </row>
    <row r="942" spans="1:13">
      <c r="A942" s="1">
        <f>HYPERLINK("http://www.twitter.com/NathanBLawrence/status/995436989297012737", "995436989297012737")</f>
        <v/>
      </c>
      <c r="B942" s="2" t="n">
        <v>43232.95424768519</v>
      </c>
      <c r="C942" t="n">
        <v>0</v>
      </c>
      <c r="D942" t="n">
        <v>31468</v>
      </c>
      <c r="E942" t="s">
        <v>952</v>
      </c>
      <c r="F942" t="s"/>
      <c r="G942" t="s"/>
      <c r="H942" t="s"/>
      <c r="I942" t="s"/>
      <c r="J942" t="n">
        <v>0.34</v>
      </c>
      <c r="K942" t="n">
        <v>0</v>
      </c>
      <c r="L942" t="n">
        <v>0.902</v>
      </c>
      <c r="M942" t="n">
        <v>0.098</v>
      </c>
    </row>
    <row r="943" spans="1:13">
      <c r="A943" s="1">
        <f>HYPERLINK("http://www.twitter.com/NathanBLawrence/status/995436407995826177", "995436407995826177")</f>
        <v/>
      </c>
      <c r="B943" s="2" t="n">
        <v>43232.95263888889</v>
      </c>
      <c r="C943" t="n">
        <v>0</v>
      </c>
      <c r="D943" t="n">
        <v>28089</v>
      </c>
      <c r="E943" t="s">
        <v>953</v>
      </c>
      <c r="F943" t="s"/>
      <c r="G943" t="s"/>
      <c r="H943" t="s"/>
      <c r="I943" t="s"/>
      <c r="J943" t="n">
        <v>0</v>
      </c>
      <c r="K943" t="n">
        <v>0</v>
      </c>
      <c r="L943" t="n">
        <v>1</v>
      </c>
      <c r="M943" t="n">
        <v>0</v>
      </c>
    </row>
    <row r="944" spans="1:13">
      <c r="A944" s="1">
        <f>HYPERLINK("http://www.twitter.com/NathanBLawrence/status/995436245726576640", "995436245726576640")</f>
        <v/>
      </c>
      <c r="B944" s="2" t="n">
        <v>43232.9521875</v>
      </c>
      <c r="C944" t="n">
        <v>0</v>
      </c>
      <c r="D944" t="n">
        <v>34534</v>
      </c>
      <c r="E944" t="s">
        <v>954</v>
      </c>
      <c r="F944" t="s"/>
      <c r="G944" t="s"/>
      <c r="H944" t="s"/>
      <c r="I944" t="s"/>
      <c r="J944" t="n">
        <v>0</v>
      </c>
      <c r="K944" t="n">
        <v>0</v>
      </c>
      <c r="L944" t="n">
        <v>1</v>
      </c>
      <c r="M944" t="n">
        <v>0</v>
      </c>
    </row>
    <row r="945" spans="1:13">
      <c r="A945" s="1">
        <f>HYPERLINK("http://www.twitter.com/NathanBLawrence/status/995436167486062592", "995436167486062592")</f>
        <v/>
      </c>
      <c r="B945" s="2" t="n">
        <v>43232.95197916667</v>
      </c>
      <c r="C945" t="n">
        <v>0</v>
      </c>
      <c r="D945" t="n">
        <v>22875</v>
      </c>
      <c r="E945" t="s">
        <v>955</v>
      </c>
      <c r="F945" t="s"/>
      <c r="G945" t="s"/>
      <c r="H945" t="s"/>
      <c r="I945" t="s"/>
      <c r="J945" t="n">
        <v>-0.4767</v>
      </c>
      <c r="K945" t="n">
        <v>0.134</v>
      </c>
      <c r="L945" t="n">
        <v>0.866</v>
      </c>
      <c r="M945" t="n">
        <v>0</v>
      </c>
    </row>
    <row r="946" spans="1:13">
      <c r="A946" s="1">
        <f>HYPERLINK("http://www.twitter.com/NathanBLawrence/status/995435933146136576", "995435933146136576")</f>
        <v/>
      </c>
      <c r="B946" s="2" t="n">
        <v>43232.95133101852</v>
      </c>
      <c r="C946" t="n">
        <v>0</v>
      </c>
      <c r="D946" t="n">
        <v>20126</v>
      </c>
      <c r="E946" t="s">
        <v>956</v>
      </c>
      <c r="F946">
        <f>HYPERLINK("https://video.twimg.com/ext_tw_video/995044716461768704/pu/vid/1280x720/X5Np6CNV3NBxYz5w.mp4?tag=3", "https://video.twimg.com/ext_tw_video/995044716461768704/pu/vid/1280x720/X5Np6CNV3NBxYz5w.mp4?tag=3")</f>
        <v/>
      </c>
      <c r="G946" t="s"/>
      <c r="H946" t="s"/>
      <c r="I946" t="s"/>
      <c r="J946" t="n">
        <v>0.6369</v>
      </c>
      <c r="K946" t="n">
        <v>0</v>
      </c>
      <c r="L946" t="n">
        <v>0.794</v>
      </c>
      <c r="M946" t="n">
        <v>0.206</v>
      </c>
    </row>
    <row r="947" spans="1:13">
      <c r="A947" s="1">
        <f>HYPERLINK("http://www.twitter.com/NathanBLawrence/status/995435815395209216", "995435815395209216")</f>
        <v/>
      </c>
      <c r="B947" s="2" t="n">
        <v>43232.95100694444</v>
      </c>
      <c r="C947" t="n">
        <v>0</v>
      </c>
      <c r="D947" t="n">
        <v>22476</v>
      </c>
      <c r="E947" t="s">
        <v>957</v>
      </c>
      <c r="F947" t="s"/>
      <c r="G947" t="s"/>
      <c r="H947" t="s"/>
      <c r="I947" t="s"/>
      <c r="J947" t="n">
        <v>-0.296</v>
      </c>
      <c r="K947" t="n">
        <v>0.099</v>
      </c>
      <c r="L947" t="n">
        <v>0.901</v>
      </c>
      <c r="M947" t="n">
        <v>0</v>
      </c>
    </row>
    <row r="948" spans="1:13">
      <c r="A948" s="1">
        <f>HYPERLINK("http://www.twitter.com/NathanBLawrence/status/995188446510698496", "995188446510698496")</f>
        <v/>
      </c>
      <c r="B948" s="2" t="n">
        <v>43232.26840277778</v>
      </c>
      <c r="C948" t="n">
        <v>2</v>
      </c>
      <c r="D948" t="n">
        <v>2</v>
      </c>
      <c r="E948" t="s">
        <v>958</v>
      </c>
      <c r="F948" t="s"/>
      <c r="G948" t="s"/>
      <c r="H948" t="s"/>
      <c r="I948" t="s"/>
      <c r="J948" t="n">
        <v>0</v>
      </c>
      <c r="K948" t="n">
        <v>0</v>
      </c>
      <c r="L948" t="n">
        <v>1</v>
      </c>
      <c r="M948" t="n">
        <v>0</v>
      </c>
    </row>
    <row r="949" spans="1:13">
      <c r="A949" s="1">
        <f>HYPERLINK("http://www.twitter.com/NathanBLawrence/status/995178510275825664", "995178510275825664")</f>
        <v/>
      </c>
      <c r="B949" s="2" t="n">
        <v>43232.2409837963</v>
      </c>
      <c r="C949" t="n">
        <v>0</v>
      </c>
      <c r="D949" t="n">
        <v>6</v>
      </c>
      <c r="E949" t="s">
        <v>959</v>
      </c>
      <c r="F949" t="s"/>
      <c r="G949" t="s"/>
      <c r="H949" t="s"/>
      <c r="I949" t="s"/>
      <c r="J949" t="n">
        <v>-0.4019</v>
      </c>
      <c r="K949" t="n">
        <v>0.13</v>
      </c>
      <c r="L949" t="n">
        <v>0.87</v>
      </c>
      <c r="M949" t="n">
        <v>0</v>
      </c>
    </row>
    <row r="950" spans="1:13">
      <c r="A950" s="1">
        <f>HYPERLINK("http://www.twitter.com/NathanBLawrence/status/995178257233469441", "995178257233469441")</f>
        <v/>
      </c>
      <c r="B950" s="2" t="n">
        <v>43232.24027777778</v>
      </c>
      <c r="C950" t="n">
        <v>0</v>
      </c>
      <c r="D950" t="n">
        <v>1453</v>
      </c>
      <c r="E950" t="s">
        <v>960</v>
      </c>
      <c r="F950" t="s"/>
      <c r="G950" t="s"/>
      <c r="H950" t="s"/>
      <c r="I950" t="s"/>
      <c r="J950" t="n">
        <v>0</v>
      </c>
      <c r="K950" t="n">
        <v>0</v>
      </c>
      <c r="L950" t="n">
        <v>1</v>
      </c>
      <c r="M950" t="n">
        <v>0</v>
      </c>
    </row>
    <row r="951" spans="1:13">
      <c r="A951" s="1">
        <f>HYPERLINK("http://www.twitter.com/NathanBLawrence/status/995178056439549952", "995178056439549952")</f>
        <v/>
      </c>
      <c r="B951" s="2" t="n">
        <v>43232.23972222222</v>
      </c>
      <c r="C951" t="n">
        <v>0</v>
      </c>
      <c r="D951" t="n">
        <v>910</v>
      </c>
      <c r="E951" t="s">
        <v>961</v>
      </c>
      <c r="F951">
        <f>HYPERLINK("http://pbs.twimg.com/media/Dc9UtfvW0AAWi7e.jpg", "http://pbs.twimg.com/media/Dc9UtfvW0AAWi7e.jpg")</f>
        <v/>
      </c>
      <c r="G951" t="s"/>
      <c r="H951" t="s"/>
      <c r="I951" t="s"/>
      <c r="J951" t="n">
        <v>-0.1779</v>
      </c>
      <c r="K951" t="n">
        <v>0.075</v>
      </c>
      <c r="L951" t="n">
        <v>0.925</v>
      </c>
      <c r="M951" t="n">
        <v>0</v>
      </c>
    </row>
    <row r="952" spans="1:13">
      <c r="A952" s="1">
        <f>HYPERLINK("http://www.twitter.com/NathanBLawrence/status/995177946326368256", "995177946326368256")</f>
        <v/>
      </c>
      <c r="B952" s="2" t="n">
        <v>43232.2394212963</v>
      </c>
      <c r="C952" t="n">
        <v>0</v>
      </c>
      <c r="D952" t="n">
        <v>452</v>
      </c>
      <c r="E952" t="s">
        <v>962</v>
      </c>
      <c r="F952">
        <f>HYPERLINK("http://pbs.twimg.com/media/Dc9F9btV4AAbAf3.jpg", "http://pbs.twimg.com/media/Dc9F9btV4AAbAf3.jpg")</f>
        <v/>
      </c>
      <c r="G952" t="s"/>
      <c r="H952" t="s"/>
      <c r="I952" t="s"/>
      <c r="J952" t="n">
        <v>0</v>
      </c>
      <c r="K952" t="n">
        <v>0</v>
      </c>
      <c r="L952" t="n">
        <v>1</v>
      </c>
      <c r="M952" t="n">
        <v>0</v>
      </c>
    </row>
    <row r="953" spans="1:13">
      <c r="A953" s="1">
        <f>HYPERLINK("http://www.twitter.com/NathanBLawrence/status/995175539324276736", "995175539324276736")</f>
        <v/>
      </c>
      <c r="B953" s="2" t="n">
        <v>43232.23277777778</v>
      </c>
      <c r="C953" t="n">
        <v>0</v>
      </c>
      <c r="D953" t="n">
        <v>2708</v>
      </c>
      <c r="E953" t="s">
        <v>963</v>
      </c>
      <c r="F953">
        <f>HYPERLINK("http://pbs.twimg.com/media/Dc92_h5UwAAh3xt.jpg", "http://pbs.twimg.com/media/Dc92_h5UwAAh3xt.jpg")</f>
        <v/>
      </c>
      <c r="G953" t="s"/>
      <c r="H953" t="s"/>
      <c r="I953" t="s"/>
      <c r="J953" t="n">
        <v>-0.4767</v>
      </c>
      <c r="K953" t="n">
        <v>0.193</v>
      </c>
      <c r="L953" t="n">
        <v>0.8070000000000001</v>
      </c>
      <c r="M953" t="n">
        <v>0</v>
      </c>
    </row>
    <row r="954" spans="1:13">
      <c r="A954" s="1">
        <f>HYPERLINK("http://www.twitter.com/NathanBLawrence/status/995174924191809536", "995174924191809536")</f>
        <v/>
      </c>
      <c r="B954" s="2" t="n">
        <v>43232.23108796297</v>
      </c>
      <c r="C954" t="n">
        <v>0</v>
      </c>
      <c r="D954" t="n">
        <v>29</v>
      </c>
      <c r="E954" t="s">
        <v>964</v>
      </c>
      <c r="F954" t="s"/>
      <c r="G954" t="s"/>
      <c r="H954" t="s"/>
      <c r="I954" t="s"/>
      <c r="J954" t="n">
        <v>0.5106000000000001</v>
      </c>
      <c r="K954" t="n">
        <v>0</v>
      </c>
      <c r="L954" t="n">
        <v>0.829</v>
      </c>
      <c r="M954" t="n">
        <v>0.171</v>
      </c>
    </row>
    <row r="955" spans="1:13">
      <c r="A955" s="1">
        <f>HYPERLINK("http://www.twitter.com/NathanBLawrence/status/995174857250750466", "995174857250750466")</f>
        <v/>
      </c>
      <c r="B955" s="2" t="n">
        <v>43232.23090277778</v>
      </c>
      <c r="C955" t="n">
        <v>0</v>
      </c>
      <c r="D955" t="n">
        <v>5509</v>
      </c>
      <c r="E955" t="s">
        <v>965</v>
      </c>
      <c r="F955" t="s"/>
      <c r="G955" t="s"/>
      <c r="H955" t="s"/>
      <c r="I955" t="s"/>
      <c r="J955" t="n">
        <v>0</v>
      </c>
      <c r="K955" t="n">
        <v>0</v>
      </c>
      <c r="L955" t="n">
        <v>1</v>
      </c>
      <c r="M955" t="n">
        <v>0</v>
      </c>
    </row>
    <row r="956" spans="1:13">
      <c r="A956" s="1">
        <f>HYPERLINK("http://www.twitter.com/NathanBLawrence/status/995174580032454656", "995174580032454656")</f>
        <v/>
      </c>
      <c r="B956" s="2" t="n">
        <v>43232.23012731481</v>
      </c>
      <c r="C956" t="n">
        <v>5</v>
      </c>
      <c r="D956" t="n">
        <v>2</v>
      </c>
      <c r="E956" t="s">
        <v>966</v>
      </c>
      <c r="F956" t="s"/>
      <c r="G956" t="s"/>
      <c r="H956" t="s"/>
      <c r="I956" t="s"/>
      <c r="J956" t="n">
        <v>0.2263</v>
      </c>
      <c r="K956" t="n">
        <v>0.067</v>
      </c>
      <c r="L956" t="n">
        <v>0.868</v>
      </c>
      <c r="M956" t="n">
        <v>0.065</v>
      </c>
    </row>
    <row r="957" spans="1:13">
      <c r="A957" s="1">
        <f>HYPERLINK("http://www.twitter.com/NathanBLawrence/status/995173946747043840", "995173946747043840")</f>
        <v/>
      </c>
      <c r="B957" s="2" t="n">
        <v>43232.22837962963</v>
      </c>
      <c r="C957" t="n">
        <v>4</v>
      </c>
      <c r="D957" t="n">
        <v>1</v>
      </c>
      <c r="E957" t="s">
        <v>967</v>
      </c>
      <c r="F957" t="s"/>
      <c r="G957" t="s"/>
      <c r="H957" t="s"/>
      <c r="I957" t="s"/>
      <c r="J957" t="n">
        <v>0.2263</v>
      </c>
      <c r="K957" t="n">
        <v>0.067</v>
      </c>
      <c r="L957" t="n">
        <v>0.868</v>
      </c>
      <c r="M957" t="n">
        <v>0.065</v>
      </c>
    </row>
    <row r="958" spans="1:13">
      <c r="A958" s="1">
        <f>HYPERLINK("http://www.twitter.com/NathanBLawrence/status/995171898244804608", "995171898244804608")</f>
        <v/>
      </c>
      <c r="B958" s="2" t="n">
        <v>43232.22273148148</v>
      </c>
      <c r="C958" t="n">
        <v>1</v>
      </c>
      <c r="D958" t="n">
        <v>1</v>
      </c>
      <c r="E958" t="s">
        <v>968</v>
      </c>
      <c r="F958" t="s"/>
      <c r="G958" t="s"/>
      <c r="H958" t="s"/>
      <c r="I958" t="s"/>
      <c r="J958" t="n">
        <v>0</v>
      </c>
      <c r="K958" t="n">
        <v>0</v>
      </c>
      <c r="L958" t="n">
        <v>1</v>
      </c>
      <c r="M958" t="n">
        <v>0</v>
      </c>
    </row>
    <row r="959" spans="1:13">
      <c r="A959" s="1">
        <f>HYPERLINK("http://www.twitter.com/NathanBLawrence/status/995171289168924673", "995171289168924673")</f>
        <v/>
      </c>
      <c r="B959" s="2" t="n">
        <v>43232.22105324074</v>
      </c>
      <c r="C959" t="n">
        <v>0</v>
      </c>
      <c r="D959" t="n">
        <v>1</v>
      </c>
      <c r="E959" t="s">
        <v>969</v>
      </c>
      <c r="F959">
        <f>HYPERLINK("http://pbs.twimg.com/media/DcyhWmPU0AAb3Py.jpg", "http://pbs.twimg.com/media/DcyhWmPU0AAb3Py.jpg")</f>
        <v/>
      </c>
      <c r="G959" t="s"/>
      <c r="H959" t="s"/>
      <c r="I959" t="s"/>
      <c r="J959" t="n">
        <v>0</v>
      </c>
      <c r="K959" t="n">
        <v>0</v>
      </c>
      <c r="L959" t="n">
        <v>1</v>
      </c>
      <c r="M959" t="n">
        <v>0</v>
      </c>
    </row>
    <row r="960" spans="1:13">
      <c r="A960" s="1">
        <f>HYPERLINK("http://www.twitter.com/NathanBLawrence/status/995171218700554240", "995171218700554240")</f>
        <v/>
      </c>
      <c r="B960" s="2" t="n">
        <v>43232.22085648148</v>
      </c>
      <c r="C960" t="n">
        <v>0</v>
      </c>
      <c r="D960" t="n">
        <v>0</v>
      </c>
      <c r="E960" t="s">
        <v>970</v>
      </c>
      <c r="F960" t="s"/>
      <c r="G960" t="s"/>
      <c r="H960" t="s"/>
      <c r="I960" t="s"/>
      <c r="J960" t="n">
        <v>0.6868</v>
      </c>
      <c r="K960" t="n">
        <v>0.08599999999999999</v>
      </c>
      <c r="L960" t="n">
        <v>0.7</v>
      </c>
      <c r="M960" t="n">
        <v>0.214</v>
      </c>
    </row>
    <row r="961" spans="1:13">
      <c r="A961" s="1">
        <f>HYPERLINK("http://www.twitter.com/NathanBLawrence/status/995165971785572352", "995165971785572352")</f>
        <v/>
      </c>
      <c r="B961" s="2" t="n">
        <v>43232.20637731482</v>
      </c>
      <c r="C961" t="n">
        <v>0</v>
      </c>
      <c r="D961" t="n">
        <v>794</v>
      </c>
      <c r="E961" t="s">
        <v>971</v>
      </c>
      <c r="F961" t="s"/>
      <c r="G961" t="s"/>
      <c r="H961" t="s"/>
      <c r="I961" t="s"/>
      <c r="J961" t="n">
        <v>0</v>
      </c>
      <c r="K961" t="n">
        <v>0</v>
      </c>
      <c r="L961" t="n">
        <v>1</v>
      </c>
      <c r="M961" t="n">
        <v>0</v>
      </c>
    </row>
    <row r="962" spans="1:13">
      <c r="A962" s="1">
        <f>HYPERLINK("http://www.twitter.com/NathanBLawrence/status/995164569130582016", "995164569130582016")</f>
        <v/>
      </c>
      <c r="B962" s="2" t="n">
        <v>43232.20251157408</v>
      </c>
      <c r="C962" t="n">
        <v>2</v>
      </c>
      <c r="D962" t="n">
        <v>0</v>
      </c>
      <c r="E962" t="s">
        <v>972</v>
      </c>
      <c r="F962">
        <f>HYPERLINK("http://pbs.twimg.com/media/Dc-FglSVAAEu1Po.jpg", "http://pbs.twimg.com/media/Dc-FglSVAAEu1Po.jpg")</f>
        <v/>
      </c>
      <c r="G962" t="s"/>
      <c r="H962" t="s"/>
      <c r="I962" t="s"/>
      <c r="J962" t="n">
        <v>-0.1511</v>
      </c>
      <c r="K962" t="n">
        <v>0.231</v>
      </c>
      <c r="L962" t="n">
        <v>0.569</v>
      </c>
      <c r="M962" t="n">
        <v>0.2</v>
      </c>
    </row>
    <row r="963" spans="1:13">
      <c r="A963" s="1">
        <f>HYPERLINK("http://www.twitter.com/NathanBLawrence/status/995155975609856000", "995155975609856000")</f>
        <v/>
      </c>
      <c r="B963" s="2" t="n">
        <v>43232.1787962963</v>
      </c>
      <c r="C963" t="n">
        <v>0</v>
      </c>
      <c r="D963" t="n">
        <v>353</v>
      </c>
      <c r="E963" t="s">
        <v>973</v>
      </c>
      <c r="F963" t="s"/>
      <c r="G963" t="s"/>
      <c r="H963" t="s"/>
      <c r="I963" t="s"/>
      <c r="J963" t="n">
        <v>0.4404</v>
      </c>
      <c r="K963" t="n">
        <v>0.108</v>
      </c>
      <c r="L963" t="n">
        <v>0.6899999999999999</v>
      </c>
      <c r="M963" t="n">
        <v>0.202</v>
      </c>
    </row>
    <row r="964" spans="1:13">
      <c r="A964" s="1">
        <f>HYPERLINK("http://www.twitter.com/NathanBLawrence/status/995155850346938369", "995155850346938369")</f>
        <v/>
      </c>
      <c r="B964" s="2" t="n">
        <v>43232.17844907408</v>
      </c>
      <c r="C964" t="n">
        <v>0</v>
      </c>
      <c r="D964" t="n">
        <v>31175</v>
      </c>
      <c r="E964" t="s">
        <v>974</v>
      </c>
      <c r="F964" t="s"/>
      <c r="G964" t="s"/>
      <c r="H964" t="s"/>
      <c r="I964" t="s"/>
      <c r="J964" t="n">
        <v>0.636</v>
      </c>
      <c r="K964" t="n">
        <v>0</v>
      </c>
      <c r="L964" t="n">
        <v>0.819</v>
      </c>
      <c r="M964" t="n">
        <v>0.181</v>
      </c>
    </row>
    <row r="965" spans="1:13">
      <c r="A965" s="1">
        <f>HYPERLINK("http://www.twitter.com/NathanBLawrence/status/995155709120532480", "995155709120532480")</f>
        <v/>
      </c>
      <c r="B965" s="2" t="n">
        <v>43232.17805555555</v>
      </c>
      <c r="C965" t="n">
        <v>0</v>
      </c>
      <c r="D965" t="n">
        <v>772</v>
      </c>
      <c r="E965" t="s">
        <v>975</v>
      </c>
      <c r="F965">
        <f>HYPERLINK("http://pbs.twimg.com/media/Dc6i0h4WkAA3Fzt.jpg", "http://pbs.twimg.com/media/Dc6i0h4WkAA3Fzt.jpg")</f>
        <v/>
      </c>
      <c r="G965" t="s"/>
      <c r="H965" t="s"/>
      <c r="I965" t="s"/>
      <c r="J965" t="n">
        <v>0</v>
      </c>
      <c r="K965" t="n">
        <v>0</v>
      </c>
      <c r="L965" t="n">
        <v>1</v>
      </c>
      <c r="M965" t="n">
        <v>0</v>
      </c>
    </row>
    <row r="966" spans="1:13">
      <c r="A966" s="1">
        <f>HYPERLINK("http://www.twitter.com/NathanBLawrence/status/995155546486456321", "995155546486456321")</f>
        <v/>
      </c>
      <c r="B966" s="2" t="n">
        <v>43232.17761574074</v>
      </c>
      <c r="C966" t="n">
        <v>0</v>
      </c>
      <c r="D966" t="n">
        <v>3658</v>
      </c>
      <c r="E966" t="s">
        <v>976</v>
      </c>
      <c r="F966" t="s"/>
      <c r="G966" t="s"/>
      <c r="H966" t="s"/>
      <c r="I966" t="s"/>
      <c r="J966" t="n">
        <v>-0.6486</v>
      </c>
      <c r="K966" t="n">
        <v>0.202</v>
      </c>
      <c r="L966" t="n">
        <v>0.798</v>
      </c>
      <c r="M966" t="n">
        <v>0</v>
      </c>
    </row>
    <row r="967" spans="1:13">
      <c r="A967" s="1">
        <f>HYPERLINK("http://www.twitter.com/NathanBLawrence/status/995155333277368320", "995155333277368320")</f>
        <v/>
      </c>
      <c r="B967" s="2" t="n">
        <v>43232.17702546297</v>
      </c>
      <c r="C967" t="n">
        <v>0</v>
      </c>
      <c r="D967" t="n">
        <v>1767</v>
      </c>
      <c r="E967" t="s">
        <v>977</v>
      </c>
      <c r="F967" t="s"/>
      <c r="G967" t="s"/>
      <c r="H967" t="s"/>
      <c r="I967" t="s"/>
      <c r="J967" t="n">
        <v>-0.7964</v>
      </c>
      <c r="K967" t="n">
        <v>0.329</v>
      </c>
      <c r="L967" t="n">
        <v>0.588</v>
      </c>
      <c r="M967" t="n">
        <v>0.083</v>
      </c>
    </row>
    <row r="968" spans="1:13">
      <c r="A968" s="1">
        <f>HYPERLINK("http://www.twitter.com/NathanBLawrence/status/995155272329977856", "995155272329977856")</f>
        <v/>
      </c>
      <c r="B968" s="2" t="n">
        <v>43232.17685185185</v>
      </c>
      <c r="C968" t="n">
        <v>0</v>
      </c>
      <c r="D968" t="n">
        <v>7210</v>
      </c>
      <c r="E968" t="s">
        <v>978</v>
      </c>
      <c r="F968" t="s"/>
      <c r="G968" t="s"/>
      <c r="H968" t="s"/>
      <c r="I968" t="s"/>
      <c r="J968" t="n">
        <v>-0.8442</v>
      </c>
      <c r="K968" t="n">
        <v>0.355</v>
      </c>
      <c r="L968" t="n">
        <v>0.489</v>
      </c>
      <c r="M968" t="n">
        <v>0.156</v>
      </c>
    </row>
    <row r="969" spans="1:13">
      <c r="A969" s="1">
        <f>HYPERLINK("http://www.twitter.com/NathanBLawrence/status/995142887179522049", "995142887179522049")</f>
        <v/>
      </c>
      <c r="B969" s="2" t="n">
        <v>43232.14267361111</v>
      </c>
      <c r="C969" t="n">
        <v>0</v>
      </c>
      <c r="D969" t="n">
        <v>945</v>
      </c>
      <c r="E969" t="s">
        <v>979</v>
      </c>
      <c r="F969">
        <f>HYPERLINK("https://video.twimg.com/amplify_video/992541518928920576/vid/1280x720/DsUKQ0I-W8ZpIpoS.mp4?tag=2", "https://video.twimg.com/amplify_video/992541518928920576/vid/1280x720/DsUKQ0I-W8ZpIpoS.mp4?tag=2")</f>
        <v/>
      </c>
      <c r="G969" t="s"/>
      <c r="H969" t="s"/>
      <c r="I969" t="s"/>
      <c r="J969" t="n">
        <v>-0.6249</v>
      </c>
      <c r="K969" t="n">
        <v>0.202</v>
      </c>
      <c r="L969" t="n">
        <v>0.726</v>
      </c>
      <c r="M969" t="n">
        <v>0.073</v>
      </c>
    </row>
    <row r="970" spans="1:13">
      <c r="A970" s="1">
        <f>HYPERLINK("http://www.twitter.com/NathanBLawrence/status/995142474015354880", "995142474015354880")</f>
        <v/>
      </c>
      <c r="B970" s="2" t="n">
        <v>43232.14153935185</v>
      </c>
      <c r="C970" t="n">
        <v>0</v>
      </c>
      <c r="D970" t="n">
        <v>5493</v>
      </c>
      <c r="E970" t="s">
        <v>980</v>
      </c>
      <c r="F970">
        <f>HYPERLINK("https://video.twimg.com/ext_tw_video/994742929838161921/pu/vid/480x480/AYg790KJJmg5GEtO.mp4?tag=3", "https://video.twimg.com/ext_tw_video/994742929838161921/pu/vid/480x480/AYg790KJJmg5GEtO.mp4?tag=3")</f>
        <v/>
      </c>
      <c r="G970" t="s"/>
      <c r="H970" t="s"/>
      <c r="I970" t="s"/>
      <c r="J970" t="n">
        <v>0</v>
      </c>
      <c r="K970" t="n">
        <v>0</v>
      </c>
      <c r="L970" t="n">
        <v>1</v>
      </c>
      <c r="M970" t="n">
        <v>0</v>
      </c>
    </row>
    <row r="971" spans="1:13">
      <c r="A971" s="1">
        <f>HYPERLINK("http://www.twitter.com/NathanBLawrence/status/995142026843701249", "995142026843701249")</f>
        <v/>
      </c>
      <c r="B971" s="2" t="n">
        <v>43232.14030092592</v>
      </c>
      <c r="C971" t="n">
        <v>0</v>
      </c>
      <c r="D971" t="n">
        <v>1912</v>
      </c>
      <c r="E971" t="s">
        <v>981</v>
      </c>
      <c r="F971" t="s"/>
      <c r="G971" t="s"/>
      <c r="H971" t="s"/>
      <c r="I971" t="s"/>
      <c r="J971" t="n">
        <v>0</v>
      </c>
      <c r="K971" t="n">
        <v>0</v>
      </c>
      <c r="L971" t="n">
        <v>1</v>
      </c>
      <c r="M971" t="n">
        <v>0</v>
      </c>
    </row>
    <row r="972" spans="1:13">
      <c r="A972" s="1">
        <f>HYPERLINK("http://www.twitter.com/NathanBLawrence/status/995141974872215554", "995141974872215554")</f>
        <v/>
      </c>
      <c r="B972" s="2" t="n">
        <v>43232.14016203704</v>
      </c>
      <c r="C972" t="n">
        <v>0</v>
      </c>
      <c r="D972" t="n">
        <v>1529</v>
      </c>
      <c r="E972" t="s">
        <v>982</v>
      </c>
      <c r="F972" t="s"/>
      <c r="G972" t="s"/>
      <c r="H972" t="s"/>
      <c r="I972" t="s"/>
      <c r="J972" t="n">
        <v>0.7845</v>
      </c>
      <c r="K972" t="n">
        <v>0</v>
      </c>
      <c r="L972" t="n">
        <v>0.743</v>
      </c>
      <c r="M972" t="n">
        <v>0.257</v>
      </c>
    </row>
    <row r="973" spans="1:13">
      <c r="A973" s="1">
        <f>HYPERLINK("http://www.twitter.com/NathanBLawrence/status/995141828742696960", "995141828742696960")</f>
        <v/>
      </c>
      <c r="B973" s="2" t="n">
        <v>43232.13975694445</v>
      </c>
      <c r="C973" t="n">
        <v>0</v>
      </c>
      <c r="D973" t="n">
        <v>51</v>
      </c>
      <c r="E973" t="s">
        <v>983</v>
      </c>
      <c r="F973">
        <f>HYPERLINK("http://pbs.twimg.com/media/Dc9sLUiU8AIdUBK.jpg", "http://pbs.twimg.com/media/Dc9sLUiU8AIdUBK.jpg")</f>
        <v/>
      </c>
      <c r="G973" t="s"/>
      <c r="H973" t="s"/>
      <c r="I973" t="s"/>
      <c r="J973" t="n">
        <v>0</v>
      </c>
      <c r="K973" t="n">
        <v>0</v>
      </c>
      <c r="L973" t="n">
        <v>1</v>
      </c>
      <c r="M973" t="n">
        <v>0</v>
      </c>
    </row>
    <row r="974" spans="1:13">
      <c r="A974" s="1">
        <f>HYPERLINK("http://www.twitter.com/NathanBLawrence/status/995141762724323328", "995141762724323328")</f>
        <v/>
      </c>
      <c r="B974" s="2" t="n">
        <v>43232.13957175926</v>
      </c>
      <c r="C974" t="n">
        <v>0</v>
      </c>
      <c r="D974" t="n">
        <v>3011</v>
      </c>
      <c r="E974" t="s">
        <v>984</v>
      </c>
      <c r="F974" t="s"/>
      <c r="G974" t="s"/>
      <c r="H974" t="s"/>
      <c r="I974" t="s"/>
      <c r="J974" t="n">
        <v>0.3802</v>
      </c>
      <c r="K974" t="n">
        <v>0</v>
      </c>
      <c r="L974" t="n">
        <v>0.88</v>
      </c>
      <c r="M974" t="n">
        <v>0.12</v>
      </c>
    </row>
    <row r="975" spans="1:13">
      <c r="A975" s="1">
        <f>HYPERLINK("http://www.twitter.com/NathanBLawrence/status/995088329954611200", "995088329954611200")</f>
        <v/>
      </c>
      <c r="B975" s="2" t="n">
        <v>43231.99212962963</v>
      </c>
      <c r="C975" t="n">
        <v>0</v>
      </c>
      <c r="D975" t="n">
        <v>35</v>
      </c>
      <c r="E975" t="s">
        <v>985</v>
      </c>
      <c r="F975">
        <f>HYPERLINK("http://pbs.twimg.com/media/DOPmDeXWsAAlVh1.jpg", "http://pbs.twimg.com/media/DOPmDeXWsAAlVh1.jpg")</f>
        <v/>
      </c>
      <c r="G975" t="s"/>
      <c r="H975" t="s"/>
      <c r="I975" t="s"/>
      <c r="J975" t="n">
        <v>0.6166</v>
      </c>
      <c r="K975" t="n">
        <v>0</v>
      </c>
      <c r="L975" t="n">
        <v>0.748</v>
      </c>
      <c r="M975" t="n">
        <v>0.252</v>
      </c>
    </row>
    <row r="976" spans="1:13">
      <c r="A976" s="1">
        <f>HYPERLINK("http://www.twitter.com/NathanBLawrence/status/995088193887203329", "995088193887203329")</f>
        <v/>
      </c>
      <c r="B976" s="2" t="n">
        <v>43231.99174768518</v>
      </c>
      <c r="C976" t="n">
        <v>0</v>
      </c>
      <c r="D976" t="n">
        <v>3</v>
      </c>
      <c r="E976" t="s">
        <v>986</v>
      </c>
      <c r="F976">
        <f>HYPERLINK("http://pbs.twimg.com/media/Dc6iPmXXcAERA5w.jpg", "http://pbs.twimg.com/media/Dc6iPmXXcAERA5w.jpg")</f>
        <v/>
      </c>
      <c r="G976" t="s"/>
      <c r="H976" t="s"/>
      <c r="I976" t="s"/>
      <c r="J976" t="n">
        <v>0</v>
      </c>
      <c r="K976" t="n">
        <v>0</v>
      </c>
      <c r="L976" t="n">
        <v>1</v>
      </c>
      <c r="M976" t="n">
        <v>0</v>
      </c>
    </row>
    <row r="977" spans="1:13">
      <c r="A977" s="1">
        <f>HYPERLINK("http://www.twitter.com/NathanBLawrence/status/995087656554971136", "995087656554971136")</f>
        <v/>
      </c>
      <c r="B977" s="2" t="n">
        <v>43231.99026620371</v>
      </c>
      <c r="C977" t="n">
        <v>0</v>
      </c>
      <c r="D977" t="n">
        <v>12</v>
      </c>
      <c r="E977" t="s">
        <v>987</v>
      </c>
      <c r="F977">
        <f>HYPERLINK("http://pbs.twimg.com/media/Dc6d7juW0AEDq08.jpg", "http://pbs.twimg.com/media/Dc6d7juW0AEDq08.jpg")</f>
        <v/>
      </c>
      <c r="G977" t="s"/>
      <c r="H977" t="s"/>
      <c r="I977" t="s"/>
      <c r="J977" t="n">
        <v>0.6552</v>
      </c>
      <c r="K977" t="n">
        <v>0</v>
      </c>
      <c r="L977" t="n">
        <v>0.8129999999999999</v>
      </c>
      <c r="M977" t="n">
        <v>0.187</v>
      </c>
    </row>
    <row r="978" spans="1:13">
      <c r="A978" s="1">
        <f>HYPERLINK("http://www.twitter.com/NathanBLawrence/status/995087132338221056", "995087132338221056")</f>
        <v/>
      </c>
      <c r="B978" s="2" t="n">
        <v>43231.98881944444</v>
      </c>
      <c r="C978" t="n">
        <v>0</v>
      </c>
      <c r="D978" t="n">
        <v>10</v>
      </c>
      <c r="E978" t="s">
        <v>988</v>
      </c>
      <c r="F978" t="s"/>
      <c r="G978" t="s"/>
      <c r="H978" t="s"/>
      <c r="I978" t="s"/>
      <c r="J978" t="n">
        <v>0</v>
      </c>
      <c r="K978" t="n">
        <v>0</v>
      </c>
      <c r="L978" t="n">
        <v>1</v>
      </c>
      <c r="M978" t="n">
        <v>0</v>
      </c>
    </row>
    <row r="979" spans="1:13">
      <c r="A979" s="1">
        <f>HYPERLINK("http://www.twitter.com/NathanBLawrence/status/995087072091238400", "995087072091238400")</f>
        <v/>
      </c>
      <c r="B979" s="2" t="n">
        <v>43231.9886574074</v>
      </c>
      <c r="C979" t="n">
        <v>0</v>
      </c>
      <c r="D979" t="n">
        <v>46</v>
      </c>
      <c r="E979" t="s">
        <v>989</v>
      </c>
      <c r="F979">
        <f>HYPERLINK("http://pbs.twimg.com/media/DcT1233XUAEvbnQ.jpg", "http://pbs.twimg.com/media/DcT1233XUAEvbnQ.jpg")</f>
        <v/>
      </c>
      <c r="G979" t="s"/>
      <c r="H979" t="s"/>
      <c r="I979" t="s"/>
      <c r="J979" t="n">
        <v>0.7783</v>
      </c>
      <c r="K979" t="n">
        <v>0</v>
      </c>
      <c r="L979" t="n">
        <v>0.673</v>
      </c>
      <c r="M979" t="n">
        <v>0.327</v>
      </c>
    </row>
    <row r="980" spans="1:13">
      <c r="A980" s="1">
        <f>HYPERLINK("http://www.twitter.com/NathanBLawrence/status/995029205124444160", "995029205124444160")</f>
        <v/>
      </c>
      <c r="B980" s="2" t="n">
        <v>43231.82896990741</v>
      </c>
      <c r="C980" t="n">
        <v>0</v>
      </c>
      <c r="D980" t="n">
        <v>194</v>
      </c>
      <c r="E980" t="s">
        <v>990</v>
      </c>
      <c r="F980" t="s"/>
      <c r="G980" t="s"/>
      <c r="H980" t="s"/>
      <c r="I980" t="s"/>
      <c r="J980" t="n">
        <v>0.2732</v>
      </c>
      <c r="K980" t="n">
        <v>0</v>
      </c>
      <c r="L980" t="n">
        <v>0.905</v>
      </c>
      <c r="M980" t="n">
        <v>0.095</v>
      </c>
    </row>
    <row r="981" spans="1:13">
      <c r="A981" s="1">
        <f>HYPERLINK("http://www.twitter.com/NathanBLawrence/status/995029143132635136", "995029143132635136")</f>
        <v/>
      </c>
      <c r="B981" s="2" t="n">
        <v>43231.82880787037</v>
      </c>
      <c r="C981" t="n">
        <v>0</v>
      </c>
      <c r="D981" t="n">
        <v>458</v>
      </c>
      <c r="E981" t="s">
        <v>991</v>
      </c>
      <c r="F981">
        <f>HYPERLINK("http://pbs.twimg.com/media/Dc7wjEDU0AA_IeJ.jpg", "http://pbs.twimg.com/media/Dc7wjEDU0AA_IeJ.jpg")</f>
        <v/>
      </c>
      <c r="G981" t="s"/>
      <c r="H981" t="s"/>
      <c r="I981" t="s"/>
      <c r="J981" t="n">
        <v>0.6588000000000001</v>
      </c>
      <c r="K981" t="n">
        <v>0</v>
      </c>
      <c r="L981" t="n">
        <v>0.577</v>
      </c>
      <c r="M981" t="n">
        <v>0.423</v>
      </c>
    </row>
    <row r="982" spans="1:13">
      <c r="A982" s="1">
        <f>HYPERLINK("http://www.twitter.com/NathanBLawrence/status/995029111788552192", "995029111788552192")</f>
        <v/>
      </c>
      <c r="B982" s="2" t="n">
        <v>43231.82871527778</v>
      </c>
      <c r="C982" t="n">
        <v>0</v>
      </c>
      <c r="D982" t="n">
        <v>1353</v>
      </c>
      <c r="E982" t="s">
        <v>992</v>
      </c>
      <c r="F982" t="s"/>
      <c r="G982" t="s"/>
      <c r="H982" t="s"/>
      <c r="I982" t="s"/>
      <c r="J982" t="n">
        <v>-0.967</v>
      </c>
      <c r="K982" t="n">
        <v>0.496</v>
      </c>
      <c r="L982" t="n">
        <v>0.504</v>
      </c>
      <c r="M982" t="n">
        <v>0</v>
      </c>
    </row>
    <row r="983" spans="1:13">
      <c r="A983" s="1">
        <f>HYPERLINK("http://www.twitter.com/NathanBLawrence/status/995028968964149248", "995028968964149248")</f>
        <v/>
      </c>
      <c r="B983" s="2" t="n">
        <v>43231.82832175926</v>
      </c>
      <c r="C983" t="n">
        <v>0</v>
      </c>
      <c r="D983" t="n">
        <v>56</v>
      </c>
      <c r="E983" t="s">
        <v>993</v>
      </c>
      <c r="F983">
        <f>HYPERLINK("http://pbs.twimg.com/media/Dc7l0SbW4AAuNih.jpg", "http://pbs.twimg.com/media/Dc7l0SbW4AAuNih.jpg")</f>
        <v/>
      </c>
      <c r="G983" t="s"/>
      <c r="H983" t="s"/>
      <c r="I983" t="s"/>
      <c r="J983" t="n">
        <v>0</v>
      </c>
      <c r="K983" t="n">
        <v>0</v>
      </c>
      <c r="L983" t="n">
        <v>1</v>
      </c>
      <c r="M983" t="n">
        <v>0</v>
      </c>
    </row>
    <row r="984" spans="1:13">
      <c r="A984" s="1">
        <f>HYPERLINK("http://www.twitter.com/NathanBLawrence/status/995027498030133248", "995027498030133248")</f>
        <v/>
      </c>
      <c r="B984" s="2" t="n">
        <v>43231.82425925926</v>
      </c>
      <c r="C984" t="n">
        <v>2</v>
      </c>
      <c r="D984" t="n">
        <v>1</v>
      </c>
      <c r="E984" t="s">
        <v>994</v>
      </c>
      <c r="F984" t="s"/>
      <c r="G984" t="s"/>
      <c r="H984" t="s"/>
      <c r="I984" t="s"/>
      <c r="J984" t="n">
        <v>0</v>
      </c>
      <c r="K984" t="n">
        <v>0</v>
      </c>
      <c r="L984" t="n">
        <v>1</v>
      </c>
      <c r="M984" t="n">
        <v>0</v>
      </c>
    </row>
    <row r="985" spans="1:13">
      <c r="A985" s="1">
        <f>HYPERLINK("http://www.twitter.com/NathanBLawrence/status/995027432187965440", "995027432187965440")</f>
        <v/>
      </c>
      <c r="B985" s="2" t="n">
        <v>43231.82408564815</v>
      </c>
      <c r="C985" t="n">
        <v>1</v>
      </c>
      <c r="D985" t="n">
        <v>0</v>
      </c>
      <c r="E985" t="s">
        <v>995</v>
      </c>
      <c r="F985" t="s"/>
      <c r="G985" t="s"/>
      <c r="H985" t="s"/>
      <c r="I985" t="s"/>
      <c r="J985" t="n">
        <v>0</v>
      </c>
      <c r="K985" t="n">
        <v>0</v>
      </c>
      <c r="L985" t="n">
        <v>1</v>
      </c>
      <c r="M985" t="n">
        <v>0</v>
      </c>
    </row>
    <row r="986" spans="1:13">
      <c r="A986" s="1">
        <f>HYPERLINK("http://www.twitter.com/NathanBLawrence/status/995015112984379392", "995015112984379392")</f>
        <v/>
      </c>
      <c r="B986" s="2" t="n">
        <v>43231.79009259259</v>
      </c>
      <c r="C986" t="n">
        <v>0</v>
      </c>
      <c r="D986" t="n">
        <v>0</v>
      </c>
      <c r="E986" t="s">
        <v>996</v>
      </c>
      <c r="F986" t="s"/>
      <c r="G986" t="s"/>
      <c r="H986" t="s"/>
      <c r="I986" t="s"/>
      <c r="J986" t="n">
        <v>-0.8286</v>
      </c>
      <c r="K986" t="n">
        <v>0.205</v>
      </c>
      <c r="L986" t="n">
        <v>0.795</v>
      </c>
      <c r="M986" t="n">
        <v>0</v>
      </c>
    </row>
    <row r="987" spans="1:13">
      <c r="A987" s="1">
        <f>HYPERLINK("http://www.twitter.com/NathanBLawrence/status/995012126950375424", "995012126950375424")</f>
        <v/>
      </c>
      <c r="B987" s="2" t="n">
        <v>43231.78185185185</v>
      </c>
      <c r="C987" t="n">
        <v>0</v>
      </c>
      <c r="D987" t="n">
        <v>10</v>
      </c>
      <c r="E987" t="s">
        <v>997</v>
      </c>
      <c r="F987" t="s"/>
      <c r="G987" t="s"/>
      <c r="H987" t="s"/>
      <c r="I987" t="s"/>
      <c r="J987" t="n">
        <v>-0.5266999999999999</v>
      </c>
      <c r="K987" t="n">
        <v>0.161</v>
      </c>
      <c r="L987" t="n">
        <v>0.839</v>
      </c>
      <c r="M987" t="n">
        <v>0</v>
      </c>
    </row>
    <row r="988" spans="1:13">
      <c r="A988" s="1">
        <f>HYPERLINK("http://www.twitter.com/NathanBLawrence/status/994988126924718080", "994988126924718080")</f>
        <v/>
      </c>
      <c r="B988" s="2" t="n">
        <v>43231.715625</v>
      </c>
      <c r="C988" t="n">
        <v>0</v>
      </c>
      <c r="D988" t="n">
        <v>12</v>
      </c>
      <c r="E988" t="s">
        <v>998</v>
      </c>
      <c r="F988" t="s"/>
      <c r="G988" t="s"/>
      <c r="H988" t="s"/>
      <c r="I988" t="s"/>
      <c r="J988" t="n">
        <v>-0.4981</v>
      </c>
      <c r="K988" t="n">
        <v>0.133</v>
      </c>
      <c r="L988" t="n">
        <v>0.867</v>
      </c>
      <c r="M988" t="n">
        <v>0</v>
      </c>
    </row>
    <row r="989" spans="1:13">
      <c r="A989" s="1">
        <f>HYPERLINK("http://www.twitter.com/NathanBLawrence/status/994988030678126598", "994988030678126598")</f>
        <v/>
      </c>
      <c r="B989" s="2" t="n">
        <v>43231.7153587963</v>
      </c>
      <c r="C989" t="n">
        <v>0</v>
      </c>
      <c r="D989" t="n">
        <v>1</v>
      </c>
      <c r="E989" t="s">
        <v>999</v>
      </c>
      <c r="F989" t="s"/>
      <c r="G989" t="s"/>
      <c r="H989" t="s"/>
      <c r="I989" t="s"/>
      <c r="J989" t="n">
        <v>0.2732</v>
      </c>
      <c r="K989" t="n">
        <v>0</v>
      </c>
      <c r="L989" t="n">
        <v>0.741</v>
      </c>
      <c r="M989" t="n">
        <v>0.259</v>
      </c>
    </row>
    <row r="990" spans="1:13">
      <c r="A990" s="1">
        <f>HYPERLINK("http://www.twitter.com/NathanBLawrence/status/994987961992208385", "994987961992208385")</f>
        <v/>
      </c>
      <c r="B990" s="2" t="n">
        <v>43231.71516203704</v>
      </c>
      <c r="C990" t="n">
        <v>0</v>
      </c>
      <c r="D990" t="n">
        <v>21</v>
      </c>
      <c r="E990" t="s">
        <v>1000</v>
      </c>
      <c r="F990">
        <f>HYPERLINK("http://pbs.twimg.com/media/Dc2WIHeVwAAQWB3.jpg", "http://pbs.twimg.com/media/Dc2WIHeVwAAQWB3.jpg")</f>
        <v/>
      </c>
      <c r="G990" t="s"/>
      <c r="H990" t="s"/>
      <c r="I990" t="s"/>
      <c r="J990" t="n">
        <v>0.4404</v>
      </c>
      <c r="K990" t="n">
        <v>0</v>
      </c>
      <c r="L990" t="n">
        <v>0.896</v>
      </c>
      <c r="M990" t="n">
        <v>0.104</v>
      </c>
    </row>
    <row r="991" spans="1:13">
      <c r="A991" s="1">
        <f>HYPERLINK("http://www.twitter.com/NathanBLawrence/status/994987918988001280", "994987918988001280")</f>
        <v/>
      </c>
      <c r="B991" s="2" t="n">
        <v>43231.7150462963</v>
      </c>
      <c r="C991" t="n">
        <v>0</v>
      </c>
      <c r="D991" t="n">
        <v>17</v>
      </c>
      <c r="E991" t="s">
        <v>1001</v>
      </c>
      <c r="F991">
        <f>HYPERLINK("http://pbs.twimg.com/media/Dc3SX1mWkAMANbN.jpg", "http://pbs.twimg.com/media/Dc3SX1mWkAMANbN.jpg")</f>
        <v/>
      </c>
      <c r="G991" t="s"/>
      <c r="H991" t="s"/>
      <c r="I991" t="s"/>
      <c r="J991" t="n">
        <v>-0.5719</v>
      </c>
      <c r="K991" t="n">
        <v>0.15</v>
      </c>
      <c r="L991" t="n">
        <v>0.85</v>
      </c>
      <c r="M991" t="n">
        <v>0</v>
      </c>
    </row>
    <row r="992" spans="1:13">
      <c r="A992" s="1">
        <f>HYPERLINK("http://www.twitter.com/NathanBLawrence/status/994987704726122496", "994987704726122496")</f>
        <v/>
      </c>
      <c r="B992" s="2" t="n">
        <v>43231.71445601852</v>
      </c>
      <c r="C992" t="n">
        <v>0</v>
      </c>
      <c r="D992" t="n">
        <v>3</v>
      </c>
      <c r="E992" t="s">
        <v>1002</v>
      </c>
      <c r="F992">
        <f>HYPERLINK("http://pbs.twimg.com/media/Dc38RdtXkAADbar.jpg", "http://pbs.twimg.com/media/Dc38RdtXkAADbar.jpg")</f>
        <v/>
      </c>
      <c r="G992" t="s"/>
      <c r="H992" t="s"/>
      <c r="I992" t="s"/>
      <c r="J992" t="n">
        <v>0.4434</v>
      </c>
      <c r="K992" t="n">
        <v>0.098</v>
      </c>
      <c r="L992" t="n">
        <v>0.718</v>
      </c>
      <c r="M992" t="n">
        <v>0.184</v>
      </c>
    </row>
    <row r="993" spans="1:13">
      <c r="A993" s="1">
        <f>HYPERLINK("http://www.twitter.com/NathanBLawrence/status/994987529546776576", "994987529546776576")</f>
        <v/>
      </c>
      <c r="B993" s="2" t="n">
        <v>43231.71396990741</v>
      </c>
      <c r="C993" t="n">
        <v>0</v>
      </c>
      <c r="D993" t="n">
        <v>24</v>
      </c>
      <c r="E993" t="s">
        <v>1003</v>
      </c>
      <c r="F993">
        <f>HYPERLINK("http://pbs.twimg.com/media/Dc7VvbWWAAICvgK.jpg", "http://pbs.twimg.com/media/Dc7VvbWWAAICvgK.jpg")</f>
        <v/>
      </c>
      <c r="G993" t="s"/>
      <c r="H993" t="s"/>
      <c r="I993" t="s"/>
      <c r="J993" t="n">
        <v>-0.4184</v>
      </c>
      <c r="K993" t="n">
        <v>0.112</v>
      </c>
      <c r="L993" t="n">
        <v>0.888</v>
      </c>
      <c r="M993" t="n">
        <v>0</v>
      </c>
    </row>
    <row r="994" spans="1:13">
      <c r="A994" s="1">
        <f>HYPERLINK("http://www.twitter.com/NathanBLawrence/status/994987442707939328", "994987442707939328")</f>
        <v/>
      </c>
      <c r="B994" s="2" t="n">
        <v>43231.71372685185</v>
      </c>
      <c r="C994" t="n">
        <v>0</v>
      </c>
      <c r="D994" t="n">
        <v>12</v>
      </c>
      <c r="E994" t="s">
        <v>1004</v>
      </c>
      <c r="F994">
        <f>HYPERLINK("http://pbs.twimg.com/media/Dc7gMnEXUAA-RCs.jpg", "http://pbs.twimg.com/media/Dc7gMnEXUAA-RCs.jpg")</f>
        <v/>
      </c>
      <c r="G994" t="s"/>
      <c r="H994" t="s"/>
      <c r="I994" t="s"/>
      <c r="J994" t="n">
        <v>0.3788</v>
      </c>
      <c r="K994" t="n">
        <v>0.07000000000000001</v>
      </c>
      <c r="L994" t="n">
        <v>0.79</v>
      </c>
      <c r="M994" t="n">
        <v>0.14</v>
      </c>
    </row>
    <row r="995" spans="1:13">
      <c r="A995" s="1">
        <f>HYPERLINK("http://www.twitter.com/NathanBLawrence/status/994987309115129856", "994987309115129856")</f>
        <v/>
      </c>
      <c r="B995" s="2" t="n">
        <v>43231.71336805556</v>
      </c>
      <c r="C995" t="n">
        <v>0</v>
      </c>
      <c r="D995" t="n">
        <v>20</v>
      </c>
      <c r="E995" t="s">
        <v>1005</v>
      </c>
      <c r="F995" t="s"/>
      <c r="G995" t="s"/>
      <c r="H995" t="s"/>
      <c r="I995" t="s"/>
      <c r="J995" t="n">
        <v>0.1144</v>
      </c>
      <c r="K995" t="n">
        <v>0.104</v>
      </c>
      <c r="L995" t="n">
        <v>0.774</v>
      </c>
      <c r="M995" t="n">
        <v>0.122</v>
      </c>
    </row>
    <row r="996" spans="1:13">
      <c r="A996" s="1">
        <f>HYPERLINK("http://www.twitter.com/NathanBLawrence/status/994987094148726784", "994987094148726784")</f>
        <v/>
      </c>
      <c r="B996" s="2" t="n">
        <v>43231.7127662037</v>
      </c>
      <c r="C996" t="n">
        <v>0</v>
      </c>
      <c r="D996" t="n">
        <v>3</v>
      </c>
      <c r="E996" t="s">
        <v>1006</v>
      </c>
      <c r="F996" t="s"/>
      <c r="G996" t="s"/>
      <c r="H996" t="s"/>
      <c r="I996" t="s"/>
      <c r="J996" t="n">
        <v>-0.7845</v>
      </c>
      <c r="K996" t="n">
        <v>0.247</v>
      </c>
      <c r="L996" t="n">
        <v>0.753</v>
      </c>
      <c r="M996" t="n">
        <v>0</v>
      </c>
    </row>
    <row r="997" spans="1:13">
      <c r="A997" s="1">
        <f>HYPERLINK("http://www.twitter.com/NathanBLawrence/status/994987045838712832", "994987045838712832")</f>
        <v/>
      </c>
      <c r="B997" s="2" t="n">
        <v>43231.71263888889</v>
      </c>
      <c r="C997" t="n">
        <v>0</v>
      </c>
      <c r="D997" t="n">
        <v>2</v>
      </c>
      <c r="E997" t="s">
        <v>1007</v>
      </c>
      <c r="F997" t="s"/>
      <c r="G997" t="s"/>
      <c r="H997" t="s"/>
      <c r="I997" t="s"/>
      <c r="J997" t="n">
        <v>-0.296</v>
      </c>
      <c r="K997" t="n">
        <v>0.18</v>
      </c>
      <c r="L997" t="n">
        <v>0.82</v>
      </c>
      <c r="M997" t="n">
        <v>0</v>
      </c>
    </row>
    <row r="998" spans="1:13">
      <c r="A998" s="1">
        <f>HYPERLINK("http://www.twitter.com/NathanBLawrence/status/994986976045551616", "994986976045551616")</f>
        <v/>
      </c>
      <c r="B998" s="2" t="n">
        <v>43231.71244212963</v>
      </c>
      <c r="C998" t="n">
        <v>0</v>
      </c>
      <c r="D998" t="n">
        <v>3</v>
      </c>
      <c r="E998" t="s">
        <v>1008</v>
      </c>
      <c r="F998" t="s"/>
      <c r="G998" t="s"/>
      <c r="H998" t="s"/>
      <c r="I998" t="s"/>
      <c r="J998" t="n">
        <v>0.1779</v>
      </c>
      <c r="K998" t="n">
        <v>0.142</v>
      </c>
      <c r="L998" t="n">
        <v>0.6879999999999999</v>
      </c>
      <c r="M998" t="n">
        <v>0.17</v>
      </c>
    </row>
    <row r="999" spans="1:13">
      <c r="A999" s="1">
        <f>HYPERLINK("http://www.twitter.com/NathanBLawrence/status/994986880696442880", "994986880696442880")</f>
        <v/>
      </c>
      <c r="B999" s="2" t="n">
        <v>43231.71217592592</v>
      </c>
      <c r="C999" t="n">
        <v>0</v>
      </c>
      <c r="D999" t="n">
        <v>5</v>
      </c>
      <c r="E999" t="s">
        <v>1009</v>
      </c>
      <c r="F999" t="s"/>
      <c r="G999" t="s"/>
      <c r="H999" t="s"/>
      <c r="I999" t="s"/>
      <c r="J999" t="n">
        <v>-0.0772</v>
      </c>
      <c r="K999" t="n">
        <v>0.061</v>
      </c>
      <c r="L999" t="n">
        <v>0.9389999999999999</v>
      </c>
      <c r="M999" t="n">
        <v>0</v>
      </c>
    </row>
    <row r="1000" spans="1:13">
      <c r="A1000" s="1">
        <f>HYPERLINK("http://www.twitter.com/NathanBLawrence/status/994984987861532673", "994984987861532673")</f>
        <v/>
      </c>
      <c r="B1000" s="2" t="n">
        <v>43231.70695601852</v>
      </c>
      <c r="C1000" t="n">
        <v>0</v>
      </c>
      <c r="D1000" t="n">
        <v>13</v>
      </c>
      <c r="E1000" t="s">
        <v>1010</v>
      </c>
      <c r="F1000" t="s"/>
      <c r="G1000" t="s"/>
      <c r="H1000" t="s"/>
      <c r="I1000" t="s"/>
      <c r="J1000" t="n">
        <v>0</v>
      </c>
      <c r="K1000" t="n">
        <v>0</v>
      </c>
      <c r="L1000" t="n">
        <v>1</v>
      </c>
      <c r="M1000" t="n">
        <v>0</v>
      </c>
    </row>
    <row r="1001" spans="1:13">
      <c r="A1001" s="1">
        <f>HYPERLINK("http://www.twitter.com/NathanBLawrence/status/994984363229036544", "994984363229036544")</f>
        <v/>
      </c>
      <c r="B1001" s="2" t="n">
        <v>43231.70523148148</v>
      </c>
      <c r="C1001" t="n">
        <v>4</v>
      </c>
      <c r="D1001" t="n">
        <v>2</v>
      </c>
      <c r="E1001" t="s">
        <v>1011</v>
      </c>
      <c r="F1001" t="s"/>
      <c r="G1001" t="s"/>
      <c r="H1001" t="s"/>
      <c r="I1001" t="s"/>
      <c r="J1001" t="n">
        <v>-0.765</v>
      </c>
      <c r="K1001" t="n">
        <v>0.133</v>
      </c>
      <c r="L1001" t="n">
        <v>0.867</v>
      </c>
      <c r="M1001" t="n">
        <v>0</v>
      </c>
    </row>
    <row r="1002" spans="1:13">
      <c r="A1002" s="1">
        <f>HYPERLINK("http://www.twitter.com/NathanBLawrence/status/994982969554042880", "994982969554042880")</f>
        <v/>
      </c>
      <c r="B1002" s="2" t="n">
        <v>43231.70138888889</v>
      </c>
      <c r="C1002" t="n">
        <v>9</v>
      </c>
      <c r="D1002" t="n">
        <v>6</v>
      </c>
      <c r="E1002" t="s">
        <v>1012</v>
      </c>
      <c r="F1002" t="s"/>
      <c r="G1002" t="s"/>
      <c r="H1002" t="s"/>
      <c r="I1002" t="s"/>
      <c r="J1002" t="n">
        <v>-0.4466</v>
      </c>
      <c r="K1002" t="n">
        <v>0.076</v>
      </c>
      <c r="L1002" t="n">
        <v>0.893</v>
      </c>
      <c r="M1002" t="n">
        <v>0.031</v>
      </c>
    </row>
    <row r="1003" spans="1:13">
      <c r="A1003" s="1">
        <f>HYPERLINK("http://www.twitter.com/NathanBLawrence/status/994982182039965696", "994982182039965696")</f>
        <v/>
      </c>
      <c r="B1003" s="2" t="n">
        <v>43231.69921296297</v>
      </c>
      <c r="C1003" t="n">
        <v>1</v>
      </c>
      <c r="D1003" t="n">
        <v>0</v>
      </c>
      <c r="E1003" t="s">
        <v>1013</v>
      </c>
      <c r="F1003" t="s"/>
      <c r="G1003" t="s"/>
      <c r="H1003" t="s"/>
      <c r="I1003" t="s"/>
      <c r="J1003" t="n">
        <v>0</v>
      </c>
      <c r="K1003" t="n">
        <v>0</v>
      </c>
      <c r="L1003" t="n">
        <v>1</v>
      </c>
      <c r="M1003" t="n">
        <v>0</v>
      </c>
    </row>
    <row r="1004" spans="1:13">
      <c r="A1004" s="1">
        <f>HYPERLINK("http://www.twitter.com/NathanBLawrence/status/994981817554894848", "994981817554894848")</f>
        <v/>
      </c>
      <c r="B1004" s="2" t="n">
        <v>43231.69820601852</v>
      </c>
      <c r="C1004" t="n">
        <v>1</v>
      </c>
      <c r="D1004" t="n">
        <v>0</v>
      </c>
      <c r="E1004" t="s">
        <v>1014</v>
      </c>
      <c r="F1004" t="s"/>
      <c r="G1004" t="s"/>
      <c r="H1004" t="s"/>
      <c r="I1004" t="s"/>
      <c r="J1004" t="n">
        <v>-0.5004999999999999</v>
      </c>
      <c r="K1004" t="n">
        <v>0.133</v>
      </c>
      <c r="L1004" t="n">
        <v>0.739</v>
      </c>
      <c r="M1004" t="n">
        <v>0.128</v>
      </c>
    </row>
    <row r="1005" spans="1:13">
      <c r="A1005" s="1">
        <f>HYPERLINK("http://www.twitter.com/NathanBLawrence/status/994979623178924032", "994979623178924032")</f>
        <v/>
      </c>
      <c r="B1005" s="2" t="n">
        <v>43231.69215277778</v>
      </c>
      <c r="C1005" t="n">
        <v>0</v>
      </c>
      <c r="D1005" t="n">
        <v>0</v>
      </c>
      <c r="E1005" t="s">
        <v>1015</v>
      </c>
      <c r="F1005" t="s"/>
      <c r="G1005" t="s"/>
      <c r="H1005" t="s"/>
      <c r="I1005" t="s"/>
      <c r="J1005" t="n">
        <v>-0.8918</v>
      </c>
      <c r="K1005" t="n">
        <v>0.262</v>
      </c>
      <c r="L1005" t="n">
        <v>0.738</v>
      </c>
      <c r="M1005" t="n">
        <v>0</v>
      </c>
    </row>
    <row r="1006" spans="1:13">
      <c r="A1006" s="1">
        <f>HYPERLINK("http://www.twitter.com/NathanBLawrence/status/994977713541677057", "994977713541677057")</f>
        <v/>
      </c>
      <c r="B1006" s="2" t="n">
        <v>43231.68688657408</v>
      </c>
      <c r="C1006" t="n">
        <v>0</v>
      </c>
      <c r="D1006" t="n">
        <v>29</v>
      </c>
      <c r="E1006" t="s">
        <v>1016</v>
      </c>
      <c r="F1006" t="s"/>
      <c r="G1006" t="s"/>
      <c r="H1006" t="s"/>
      <c r="I1006" t="s"/>
      <c r="J1006" t="n">
        <v>-0.5106000000000001</v>
      </c>
      <c r="K1006" t="n">
        <v>0.142</v>
      </c>
      <c r="L1006" t="n">
        <v>0.858</v>
      </c>
      <c r="M1006" t="n">
        <v>0</v>
      </c>
    </row>
    <row r="1007" spans="1:13">
      <c r="A1007" s="1">
        <f>HYPERLINK("http://www.twitter.com/NathanBLawrence/status/994977409035202560", "994977409035202560")</f>
        <v/>
      </c>
      <c r="B1007" s="2" t="n">
        <v>43231.68604166667</v>
      </c>
      <c r="C1007" t="n">
        <v>11</v>
      </c>
      <c r="D1007" t="n">
        <v>2</v>
      </c>
      <c r="E1007" t="s">
        <v>1017</v>
      </c>
      <c r="F1007" t="s"/>
      <c r="G1007" t="s"/>
      <c r="H1007" t="s"/>
      <c r="I1007" t="s"/>
      <c r="J1007" t="n">
        <v>-0.2716</v>
      </c>
      <c r="K1007" t="n">
        <v>0.17</v>
      </c>
      <c r="L1007" t="n">
        <v>0.662</v>
      </c>
      <c r="M1007" t="n">
        <v>0.168</v>
      </c>
    </row>
    <row r="1008" spans="1:13">
      <c r="A1008" s="1">
        <f>HYPERLINK("http://www.twitter.com/NathanBLawrence/status/994975190651056129", "994975190651056129")</f>
        <v/>
      </c>
      <c r="B1008" s="2" t="n">
        <v>43231.67991898148</v>
      </c>
      <c r="C1008" t="n">
        <v>8</v>
      </c>
      <c r="D1008" t="n">
        <v>4</v>
      </c>
      <c r="E1008" t="s">
        <v>1018</v>
      </c>
      <c r="F1008" t="s"/>
      <c r="G1008" t="s"/>
      <c r="H1008" t="s"/>
      <c r="I1008" t="s"/>
      <c r="J1008" t="n">
        <v>-0.0772</v>
      </c>
      <c r="K1008" t="n">
        <v>0.095</v>
      </c>
      <c r="L1008" t="n">
        <v>0.8169999999999999</v>
      </c>
      <c r="M1008" t="n">
        <v>0.08699999999999999</v>
      </c>
    </row>
    <row r="1009" spans="1:13">
      <c r="A1009" s="1">
        <f>HYPERLINK("http://www.twitter.com/NathanBLawrence/status/994973818354524160", "994973818354524160")</f>
        <v/>
      </c>
      <c r="B1009" s="2" t="n">
        <v>43231.67613425926</v>
      </c>
      <c r="C1009" t="n">
        <v>0</v>
      </c>
      <c r="D1009" t="n">
        <v>9</v>
      </c>
      <c r="E1009" t="s">
        <v>1019</v>
      </c>
      <c r="F1009" t="s"/>
      <c r="G1009" t="s"/>
      <c r="H1009" t="s"/>
      <c r="I1009" t="s"/>
      <c r="J1009" t="n">
        <v>-0.7712</v>
      </c>
      <c r="K1009" t="n">
        <v>0.299</v>
      </c>
      <c r="L1009" t="n">
        <v>0.701</v>
      </c>
      <c r="M1009" t="n">
        <v>0</v>
      </c>
    </row>
    <row r="1010" spans="1:13">
      <c r="A1010" s="1">
        <f>HYPERLINK("http://www.twitter.com/NathanBLawrence/status/994973797739462656", "994973797739462656")</f>
        <v/>
      </c>
      <c r="B1010" s="2" t="n">
        <v>43231.67607638889</v>
      </c>
      <c r="C1010" t="n">
        <v>0</v>
      </c>
      <c r="D1010" t="n">
        <v>42</v>
      </c>
      <c r="E1010" t="s">
        <v>1020</v>
      </c>
      <c r="F1010">
        <f>HYPERLINK("http://pbs.twimg.com/media/Dc7CjvbXcAMEWTW.jpg", "http://pbs.twimg.com/media/Dc7CjvbXcAMEWTW.jpg")</f>
        <v/>
      </c>
      <c r="G1010" t="s"/>
      <c r="H1010" t="s"/>
      <c r="I1010" t="s"/>
      <c r="J1010" t="n">
        <v>0.128</v>
      </c>
      <c r="K1010" t="n">
        <v>0</v>
      </c>
      <c r="L1010" t="n">
        <v>0.9330000000000001</v>
      </c>
      <c r="M1010" t="n">
        <v>0.067</v>
      </c>
    </row>
    <row r="1011" spans="1:13">
      <c r="A1011" s="1">
        <f>HYPERLINK("http://www.twitter.com/NathanBLawrence/status/994956708496556033", "994956708496556033")</f>
        <v/>
      </c>
      <c r="B1011" s="2" t="n">
        <v>43231.62892361111</v>
      </c>
      <c r="C1011" t="n">
        <v>0</v>
      </c>
      <c r="D1011" t="n">
        <v>168</v>
      </c>
      <c r="E1011" t="s">
        <v>1021</v>
      </c>
      <c r="F1011">
        <f>HYPERLINK("http://pbs.twimg.com/media/Dc7IPWmX4AIINfV.jpg", "http://pbs.twimg.com/media/Dc7IPWmX4AIINfV.jpg")</f>
        <v/>
      </c>
      <c r="G1011" t="s"/>
      <c r="H1011" t="s"/>
      <c r="I1011" t="s"/>
      <c r="J1011" t="n">
        <v>0</v>
      </c>
      <c r="K1011" t="n">
        <v>0</v>
      </c>
      <c r="L1011" t="n">
        <v>1</v>
      </c>
      <c r="M1011" t="n">
        <v>0</v>
      </c>
    </row>
    <row r="1012" spans="1:13">
      <c r="A1012" s="1">
        <f>HYPERLINK("http://www.twitter.com/NathanBLawrence/status/994956617035661313", "994956617035661313")</f>
        <v/>
      </c>
      <c r="B1012" s="2" t="n">
        <v>43231.62866898148</v>
      </c>
      <c r="C1012" t="n">
        <v>0</v>
      </c>
      <c r="D1012" t="n">
        <v>1256</v>
      </c>
      <c r="E1012" t="s">
        <v>1022</v>
      </c>
      <c r="F1012" t="s"/>
      <c r="G1012" t="s"/>
      <c r="H1012" t="s"/>
      <c r="I1012" t="s"/>
      <c r="J1012" t="n">
        <v>0.636</v>
      </c>
      <c r="K1012" t="n">
        <v>0</v>
      </c>
      <c r="L1012" t="n">
        <v>0.785</v>
      </c>
      <c r="M1012" t="n">
        <v>0.215</v>
      </c>
    </row>
    <row r="1013" spans="1:13">
      <c r="A1013" s="1">
        <f>HYPERLINK("http://www.twitter.com/NathanBLawrence/status/994956546084753409", "994956546084753409")</f>
        <v/>
      </c>
      <c r="B1013" s="2" t="n">
        <v>43231.62847222222</v>
      </c>
      <c r="C1013" t="n">
        <v>0</v>
      </c>
      <c r="D1013" t="n">
        <v>5070</v>
      </c>
      <c r="E1013" t="s">
        <v>1023</v>
      </c>
      <c r="F1013" t="s"/>
      <c r="G1013" t="s"/>
      <c r="H1013" t="s"/>
      <c r="I1013" t="s"/>
      <c r="J1013" t="n">
        <v>-0.3939</v>
      </c>
      <c r="K1013" t="n">
        <v>0.133</v>
      </c>
      <c r="L1013" t="n">
        <v>0.791</v>
      </c>
      <c r="M1013" t="n">
        <v>0.076</v>
      </c>
    </row>
    <row r="1014" spans="1:13">
      <c r="A1014" s="1">
        <f>HYPERLINK("http://www.twitter.com/NathanBLawrence/status/994956369345179648", "994956369345179648")</f>
        <v/>
      </c>
      <c r="B1014" s="2" t="n">
        <v>43231.62798611111</v>
      </c>
      <c r="C1014" t="n">
        <v>0</v>
      </c>
      <c r="D1014" t="n">
        <v>529</v>
      </c>
      <c r="E1014" t="s">
        <v>1024</v>
      </c>
      <c r="F1014">
        <f>HYPERLINK("http://pbs.twimg.com/media/Dc68ivWVwAApx8J.jpg", "http://pbs.twimg.com/media/Dc68ivWVwAApx8J.jpg")</f>
        <v/>
      </c>
      <c r="G1014" t="s"/>
      <c r="H1014" t="s"/>
      <c r="I1014" t="s"/>
      <c r="J1014" t="n">
        <v>-0.296</v>
      </c>
      <c r="K1014" t="n">
        <v>0.109</v>
      </c>
      <c r="L1014" t="n">
        <v>0.891</v>
      </c>
      <c r="M1014" t="n">
        <v>0</v>
      </c>
    </row>
    <row r="1015" spans="1:13">
      <c r="A1015" s="1">
        <f>HYPERLINK("http://www.twitter.com/NathanBLawrence/status/994956264743424001", "994956264743424001")</f>
        <v/>
      </c>
      <c r="B1015" s="2" t="n">
        <v>43231.62769675926</v>
      </c>
      <c r="C1015" t="n">
        <v>0</v>
      </c>
      <c r="D1015" t="n">
        <v>48</v>
      </c>
      <c r="E1015" t="s">
        <v>1025</v>
      </c>
      <c r="F1015">
        <f>HYPERLINK("http://pbs.twimg.com/media/Dc7CkMZUwAE_IS9.jpg", "http://pbs.twimg.com/media/Dc7CkMZUwAE_IS9.jpg")</f>
        <v/>
      </c>
      <c r="G1015" t="s"/>
      <c r="H1015" t="s"/>
      <c r="I1015" t="s"/>
      <c r="J1015" t="n">
        <v>-0.8646</v>
      </c>
      <c r="K1015" t="n">
        <v>0.349</v>
      </c>
      <c r="L1015" t="n">
        <v>0.651</v>
      </c>
      <c r="M1015" t="n">
        <v>0</v>
      </c>
    </row>
    <row r="1016" spans="1:13">
      <c r="A1016" s="1">
        <f>HYPERLINK("http://www.twitter.com/NathanBLawrence/status/994955926179270657", "994955926179270657")</f>
        <v/>
      </c>
      <c r="B1016" s="2" t="n">
        <v>43231.62675925926</v>
      </c>
      <c r="C1016" t="n">
        <v>0</v>
      </c>
      <c r="D1016" t="n">
        <v>692</v>
      </c>
      <c r="E1016" t="s">
        <v>1026</v>
      </c>
      <c r="F1016" t="s"/>
      <c r="G1016" t="s"/>
      <c r="H1016" t="s"/>
      <c r="I1016" t="s"/>
      <c r="J1016" t="n">
        <v>0.2732</v>
      </c>
      <c r="K1016" t="n">
        <v>0</v>
      </c>
      <c r="L1016" t="n">
        <v>0.884</v>
      </c>
      <c r="M1016" t="n">
        <v>0.116</v>
      </c>
    </row>
    <row r="1017" spans="1:13">
      <c r="A1017" s="1">
        <f>HYPERLINK("http://www.twitter.com/NathanBLawrence/status/994955858076352512", "994955858076352512")</f>
        <v/>
      </c>
      <c r="B1017" s="2" t="n">
        <v>43231.62657407407</v>
      </c>
      <c r="C1017" t="n">
        <v>0</v>
      </c>
      <c r="D1017" t="n">
        <v>2179</v>
      </c>
      <c r="E1017" t="s">
        <v>1027</v>
      </c>
      <c r="F1017">
        <f>HYPERLINK("http://pbs.twimg.com/media/Dc6-J18VwAI_-IT.jpg", "http://pbs.twimg.com/media/Dc6-J18VwAI_-IT.jpg")</f>
        <v/>
      </c>
      <c r="G1017" t="s"/>
      <c r="H1017" t="s"/>
      <c r="I1017" t="s"/>
      <c r="J1017" t="n">
        <v>-0.4356</v>
      </c>
      <c r="K1017" t="n">
        <v>0.266</v>
      </c>
      <c r="L1017" t="n">
        <v>0.5649999999999999</v>
      </c>
      <c r="M1017" t="n">
        <v>0.169</v>
      </c>
    </row>
    <row r="1018" spans="1:13">
      <c r="A1018" s="1">
        <f>HYPERLINK("http://www.twitter.com/NathanBLawrence/status/994955774852907008", "994955774852907008")</f>
        <v/>
      </c>
      <c r="B1018" s="2" t="n">
        <v>43231.62634259259</v>
      </c>
      <c r="C1018" t="n">
        <v>0</v>
      </c>
      <c r="D1018" t="n">
        <v>340</v>
      </c>
      <c r="E1018" t="s">
        <v>1028</v>
      </c>
      <c r="F1018">
        <f>HYPERLINK("http://pbs.twimg.com/media/Dc7EZTkV0AAXYDO.jpg", "http://pbs.twimg.com/media/Dc7EZTkV0AAXYDO.jpg")</f>
        <v/>
      </c>
      <c r="G1018" t="s"/>
      <c r="H1018" t="s"/>
      <c r="I1018" t="s"/>
      <c r="J1018" t="n">
        <v>-0.2263</v>
      </c>
      <c r="K1018" t="n">
        <v>0.192</v>
      </c>
      <c r="L1018" t="n">
        <v>0.8080000000000001</v>
      </c>
      <c r="M1018" t="n">
        <v>0</v>
      </c>
    </row>
    <row r="1019" spans="1:13">
      <c r="A1019" s="1">
        <f>HYPERLINK("http://www.twitter.com/NathanBLawrence/status/994955516458643456", "994955516458643456")</f>
        <v/>
      </c>
      <c r="B1019" s="2" t="n">
        <v>43231.62563657408</v>
      </c>
      <c r="C1019" t="n">
        <v>0</v>
      </c>
      <c r="D1019" t="n">
        <v>3</v>
      </c>
      <c r="E1019" t="s">
        <v>1029</v>
      </c>
      <c r="F1019">
        <f>HYPERLINK("http://pbs.twimg.com/media/Dc7Dy9pUQAEegnI.jpg", "http://pbs.twimg.com/media/Dc7Dy9pUQAEegnI.jpg")</f>
        <v/>
      </c>
      <c r="G1019" t="s"/>
      <c r="H1019" t="s"/>
      <c r="I1019" t="s"/>
      <c r="J1019" t="n">
        <v>0.6705</v>
      </c>
      <c r="K1019" t="n">
        <v>0</v>
      </c>
      <c r="L1019" t="n">
        <v>0.732</v>
      </c>
      <c r="M1019" t="n">
        <v>0.268</v>
      </c>
    </row>
    <row r="1020" spans="1:13">
      <c r="A1020" s="1">
        <f>HYPERLINK("http://www.twitter.com/NathanBLawrence/status/994955242037915649", "994955242037915649")</f>
        <v/>
      </c>
      <c r="B1020" s="2" t="n">
        <v>43231.62487268518</v>
      </c>
      <c r="C1020" t="n">
        <v>0</v>
      </c>
      <c r="D1020" t="n">
        <v>2</v>
      </c>
      <c r="E1020" t="s">
        <v>1030</v>
      </c>
      <c r="F1020" t="s"/>
      <c r="G1020" t="s"/>
      <c r="H1020" t="s"/>
      <c r="I1020" t="s"/>
      <c r="J1020" t="n">
        <v>-0.4939</v>
      </c>
      <c r="K1020" t="n">
        <v>0.158</v>
      </c>
      <c r="L1020" t="n">
        <v>0.842</v>
      </c>
      <c r="M1020" t="n">
        <v>0</v>
      </c>
    </row>
    <row r="1021" spans="1:13">
      <c r="A1021" s="1">
        <f>HYPERLINK("http://www.twitter.com/NathanBLawrence/status/994954796925792256", "994954796925792256")</f>
        <v/>
      </c>
      <c r="B1021" s="2" t="n">
        <v>43231.62364583334</v>
      </c>
      <c r="C1021" t="n">
        <v>0</v>
      </c>
      <c r="D1021" t="n">
        <v>2026</v>
      </c>
      <c r="E1021" t="s">
        <v>1031</v>
      </c>
      <c r="F1021">
        <f>HYPERLINK("https://video.twimg.com/ext_tw_video/994948254285656064/pu/vid/480x480/nJGL5gC8cq_2Uf-f.mp4?tag=3", "https://video.twimg.com/ext_tw_video/994948254285656064/pu/vid/480x480/nJGL5gC8cq_2Uf-f.mp4?tag=3")</f>
        <v/>
      </c>
      <c r="G1021" t="s"/>
      <c r="H1021" t="s"/>
      <c r="I1021" t="s"/>
      <c r="J1021" t="n">
        <v>-0.296</v>
      </c>
      <c r="K1021" t="n">
        <v>0.157</v>
      </c>
      <c r="L1021" t="n">
        <v>0.739</v>
      </c>
      <c r="M1021" t="n">
        <v>0.104</v>
      </c>
    </row>
    <row r="1022" spans="1:13">
      <c r="A1022" s="1">
        <f>HYPERLINK("http://www.twitter.com/NathanBLawrence/status/994954732316672000", "994954732316672000")</f>
        <v/>
      </c>
      <c r="B1022" s="2" t="n">
        <v>43231.62347222222</v>
      </c>
      <c r="C1022" t="n">
        <v>0</v>
      </c>
      <c r="D1022" t="n">
        <v>4134</v>
      </c>
      <c r="E1022" t="s">
        <v>1032</v>
      </c>
      <c r="F1022" t="s"/>
      <c r="G1022" t="s"/>
      <c r="H1022" t="s"/>
      <c r="I1022" t="s"/>
      <c r="J1022" t="n">
        <v>-0.25</v>
      </c>
      <c r="K1022" t="n">
        <v>0.153</v>
      </c>
      <c r="L1022" t="n">
        <v>0.729</v>
      </c>
      <c r="M1022" t="n">
        <v>0.118</v>
      </c>
    </row>
    <row r="1023" spans="1:13">
      <c r="A1023" s="1">
        <f>HYPERLINK("http://www.twitter.com/NathanBLawrence/status/994954581456052224", "994954581456052224")</f>
        <v/>
      </c>
      <c r="B1023" s="2" t="n">
        <v>43231.62305555555</v>
      </c>
      <c r="C1023" t="n">
        <v>0</v>
      </c>
      <c r="D1023" t="n">
        <v>292</v>
      </c>
      <c r="E1023" t="s">
        <v>1033</v>
      </c>
      <c r="F1023">
        <f>HYPERLINK("http://pbs.twimg.com/media/Dc69fUcU8AYRTXd.jpg", "http://pbs.twimg.com/media/Dc69fUcU8AYRTXd.jpg")</f>
        <v/>
      </c>
      <c r="G1023" t="s"/>
      <c r="H1023" t="s"/>
      <c r="I1023" t="s"/>
      <c r="J1023" t="n">
        <v>0</v>
      </c>
      <c r="K1023" t="n">
        <v>0</v>
      </c>
      <c r="L1023" t="n">
        <v>1</v>
      </c>
      <c r="M1023" t="n">
        <v>0</v>
      </c>
    </row>
    <row r="1024" spans="1:13">
      <c r="A1024" s="1">
        <f>HYPERLINK("http://www.twitter.com/NathanBLawrence/status/994954510652002304", "994954510652002304")</f>
        <v/>
      </c>
      <c r="B1024" s="2" t="n">
        <v>43231.6228587963</v>
      </c>
      <c r="C1024" t="n">
        <v>0</v>
      </c>
      <c r="D1024" t="n">
        <v>2696</v>
      </c>
      <c r="E1024" t="s">
        <v>1034</v>
      </c>
      <c r="F1024" t="s"/>
      <c r="G1024" t="s"/>
      <c r="H1024" t="s"/>
      <c r="I1024" t="s"/>
      <c r="J1024" t="n">
        <v>0.2023</v>
      </c>
      <c r="K1024" t="n">
        <v>0.112</v>
      </c>
      <c r="L1024" t="n">
        <v>0.714</v>
      </c>
      <c r="M1024" t="n">
        <v>0.173</v>
      </c>
    </row>
    <row r="1025" spans="1:13">
      <c r="A1025" s="1">
        <f>HYPERLINK("http://www.twitter.com/NathanBLawrence/status/994951563742400512", "994951563742400512")</f>
        <v/>
      </c>
      <c r="B1025" s="2" t="n">
        <v>43231.61472222222</v>
      </c>
      <c r="C1025" t="n">
        <v>0</v>
      </c>
      <c r="D1025" t="n">
        <v>114</v>
      </c>
      <c r="E1025" t="s">
        <v>1035</v>
      </c>
      <c r="F1025" t="s"/>
      <c r="G1025" t="s"/>
      <c r="H1025" t="s"/>
      <c r="I1025" t="s"/>
      <c r="J1025" t="n">
        <v>0.8555</v>
      </c>
      <c r="K1025" t="n">
        <v>0</v>
      </c>
      <c r="L1025" t="n">
        <v>0.657</v>
      </c>
      <c r="M1025" t="n">
        <v>0.343</v>
      </c>
    </row>
    <row r="1026" spans="1:13">
      <c r="A1026" s="1">
        <f>HYPERLINK("http://www.twitter.com/NathanBLawrence/status/994951252730568704", "994951252730568704")</f>
        <v/>
      </c>
      <c r="B1026" s="2" t="n">
        <v>43231.61386574074</v>
      </c>
      <c r="C1026" t="n">
        <v>0</v>
      </c>
      <c r="D1026" t="n">
        <v>50</v>
      </c>
      <c r="E1026" t="s">
        <v>1036</v>
      </c>
      <c r="F1026">
        <f>HYPERLINK("http://pbs.twimg.com/media/Dc6XqqqW0AAWsqE.jpg", "http://pbs.twimg.com/media/Dc6XqqqW0AAWsqE.jpg")</f>
        <v/>
      </c>
      <c r="G1026">
        <f>HYPERLINK("http://pbs.twimg.com/media/Dc6XqqvWAAAeQpj.jpg", "http://pbs.twimg.com/media/Dc6XqqvWAAAeQpj.jpg")</f>
        <v/>
      </c>
      <c r="H1026">
        <f>HYPERLINK("http://pbs.twimg.com/media/Dc6XqqtXcAAJrjo.jpg", "http://pbs.twimg.com/media/Dc6XqqtXcAAJrjo.jpg")</f>
        <v/>
      </c>
      <c r="I1026">
        <f>HYPERLINK("http://pbs.twimg.com/media/Dc6XqqvXkAA2vWQ.jpg", "http://pbs.twimg.com/media/Dc6XqqvXkAA2vWQ.jpg")</f>
        <v/>
      </c>
      <c r="J1026" t="n">
        <v>0.8475</v>
      </c>
      <c r="K1026" t="n">
        <v>0</v>
      </c>
      <c r="L1026" t="n">
        <v>0.649</v>
      </c>
      <c r="M1026" t="n">
        <v>0.351</v>
      </c>
    </row>
    <row r="1027" spans="1:13">
      <c r="A1027" s="1">
        <f>HYPERLINK("http://www.twitter.com/NathanBLawrence/status/994951173714014209", "994951173714014209")</f>
        <v/>
      </c>
      <c r="B1027" s="2" t="n">
        <v>43231.61364583333</v>
      </c>
      <c r="C1027" t="n">
        <v>0</v>
      </c>
      <c r="D1027" t="n">
        <v>498</v>
      </c>
      <c r="E1027" t="s">
        <v>1037</v>
      </c>
      <c r="F1027">
        <f>HYPERLINK("https://video.twimg.com/amplify_video/994674778635231232/vid/1280x720/BGVBm1SaHAw07k2Q.mp4?tag=2", "https://video.twimg.com/amplify_video/994674778635231232/vid/1280x720/BGVBm1SaHAw07k2Q.mp4?tag=2")</f>
        <v/>
      </c>
      <c r="G1027" t="s"/>
      <c r="H1027" t="s"/>
      <c r="I1027" t="s"/>
      <c r="J1027" t="n">
        <v>0.4966</v>
      </c>
      <c r="K1027" t="n">
        <v>0</v>
      </c>
      <c r="L1027" t="n">
        <v>0.867</v>
      </c>
      <c r="M1027" t="n">
        <v>0.133</v>
      </c>
    </row>
    <row r="1028" spans="1:13">
      <c r="A1028" s="1">
        <f>HYPERLINK("http://www.twitter.com/NathanBLawrence/status/994950755814490112", "994950755814490112")</f>
        <v/>
      </c>
      <c r="B1028" s="2" t="n">
        <v>43231.6125</v>
      </c>
      <c r="C1028" t="n">
        <v>0</v>
      </c>
      <c r="D1028" t="n">
        <v>0</v>
      </c>
      <c r="E1028" t="s">
        <v>1038</v>
      </c>
      <c r="F1028">
        <f>HYPERLINK("http://pbs.twimg.com/media/Dc7GbMQUQAAyKUf.jpg", "http://pbs.twimg.com/media/Dc7GbMQUQAAyKUf.jpg")</f>
        <v/>
      </c>
      <c r="G1028" t="s"/>
      <c r="H1028" t="s"/>
      <c r="I1028" t="s"/>
      <c r="J1028" t="n">
        <v>0.5719</v>
      </c>
      <c r="K1028" t="n">
        <v>0</v>
      </c>
      <c r="L1028" t="n">
        <v>0.73</v>
      </c>
      <c r="M1028" t="n">
        <v>0.27</v>
      </c>
    </row>
    <row r="1029" spans="1:13">
      <c r="A1029" s="1">
        <f>HYPERLINK("http://www.twitter.com/NathanBLawrence/status/994947455924846592", "994947455924846592")</f>
        <v/>
      </c>
      <c r="B1029" s="2" t="n">
        <v>43231.6033912037</v>
      </c>
      <c r="C1029" t="n">
        <v>0</v>
      </c>
      <c r="D1029" t="n">
        <v>6</v>
      </c>
      <c r="E1029" t="s">
        <v>1039</v>
      </c>
      <c r="F1029" t="s"/>
      <c r="G1029" t="s"/>
      <c r="H1029" t="s"/>
      <c r="I1029" t="s"/>
      <c r="J1029" t="n">
        <v>-0.2732</v>
      </c>
      <c r="K1029" t="n">
        <v>0.08699999999999999</v>
      </c>
      <c r="L1029" t="n">
        <v>0.913</v>
      </c>
      <c r="M1029" t="n">
        <v>0</v>
      </c>
    </row>
    <row r="1030" spans="1:13">
      <c r="A1030" s="1">
        <f>HYPERLINK("http://www.twitter.com/NathanBLawrence/status/994945237578534913", "994945237578534913")</f>
        <v/>
      </c>
      <c r="B1030" s="2" t="n">
        <v>43231.59726851852</v>
      </c>
      <c r="C1030" t="n">
        <v>0</v>
      </c>
      <c r="D1030" t="n">
        <v>683</v>
      </c>
      <c r="E1030" t="s">
        <v>1040</v>
      </c>
      <c r="F1030">
        <f>HYPERLINK("http://pbs.twimg.com/media/Dc5jLFqW4AAH9Zs.jpg", "http://pbs.twimg.com/media/Dc5jLFqW4AAH9Zs.jpg")</f>
        <v/>
      </c>
      <c r="G1030" t="s"/>
      <c r="H1030" t="s"/>
      <c r="I1030" t="s"/>
      <c r="J1030" t="n">
        <v>-0.5719</v>
      </c>
      <c r="K1030" t="n">
        <v>0.19</v>
      </c>
      <c r="L1030" t="n">
        <v>0.8100000000000001</v>
      </c>
      <c r="M1030" t="n">
        <v>0</v>
      </c>
    </row>
    <row r="1031" spans="1:13">
      <c r="A1031" s="1">
        <f>HYPERLINK("http://www.twitter.com/NathanBLawrence/status/994943821828927489", "994943821828927489")</f>
        <v/>
      </c>
      <c r="B1031" s="2" t="n">
        <v>43231.59335648148</v>
      </c>
      <c r="C1031" t="n">
        <v>0</v>
      </c>
      <c r="D1031" t="n">
        <v>403</v>
      </c>
      <c r="E1031" t="s">
        <v>1041</v>
      </c>
      <c r="F1031">
        <f>HYPERLINK("http://pbs.twimg.com/media/Dc629WwWAAAYCoT.jpg", "http://pbs.twimg.com/media/Dc629WwWAAAYCoT.jpg")</f>
        <v/>
      </c>
      <c r="G1031" t="s"/>
      <c r="H1031" t="s"/>
      <c r="I1031" t="s"/>
      <c r="J1031" t="n">
        <v>0</v>
      </c>
      <c r="K1031" t="n">
        <v>0</v>
      </c>
      <c r="L1031" t="n">
        <v>1</v>
      </c>
      <c r="M1031" t="n">
        <v>0</v>
      </c>
    </row>
    <row r="1032" spans="1:13">
      <c r="A1032" s="1">
        <f>HYPERLINK("http://www.twitter.com/NathanBLawrence/status/994943518974951424", "994943518974951424")</f>
        <v/>
      </c>
      <c r="B1032" s="2" t="n">
        <v>43231.59252314815</v>
      </c>
      <c r="C1032" t="n">
        <v>0</v>
      </c>
      <c r="D1032" t="n">
        <v>53</v>
      </c>
      <c r="E1032" t="s">
        <v>1042</v>
      </c>
      <c r="F1032">
        <f>HYPERLINK("http://pbs.twimg.com/media/Dc67ehGU8AAZQMv.jpg", "http://pbs.twimg.com/media/Dc67ehGU8AAZQMv.jpg")</f>
        <v/>
      </c>
      <c r="G1032" t="s"/>
      <c r="H1032" t="s"/>
      <c r="I1032" t="s"/>
      <c r="J1032" t="n">
        <v>-0.7783</v>
      </c>
      <c r="K1032" t="n">
        <v>0.286</v>
      </c>
      <c r="L1032" t="n">
        <v>0.714</v>
      </c>
      <c r="M1032" t="n">
        <v>0</v>
      </c>
    </row>
    <row r="1033" spans="1:13">
      <c r="A1033" s="1">
        <f>HYPERLINK("http://www.twitter.com/NathanBLawrence/status/994943295255076864", "994943295255076864")</f>
        <v/>
      </c>
      <c r="B1033" s="2" t="n">
        <v>43231.59190972222</v>
      </c>
      <c r="C1033" t="n">
        <v>2</v>
      </c>
      <c r="D1033" t="n">
        <v>2</v>
      </c>
      <c r="E1033" t="s">
        <v>1043</v>
      </c>
      <c r="F1033" t="s"/>
      <c r="G1033" t="s"/>
      <c r="H1033" t="s"/>
      <c r="I1033" t="s"/>
      <c r="J1033" t="n">
        <v>-0.7524999999999999</v>
      </c>
      <c r="K1033" t="n">
        <v>0.183</v>
      </c>
      <c r="L1033" t="n">
        <v>0.779</v>
      </c>
      <c r="M1033" t="n">
        <v>0.038</v>
      </c>
    </row>
    <row r="1034" spans="1:13">
      <c r="A1034" s="1">
        <f>HYPERLINK("http://www.twitter.com/NathanBLawrence/status/994943070494867457", "994943070494867457")</f>
        <v/>
      </c>
      <c r="B1034" s="2" t="n">
        <v>43231.59128472222</v>
      </c>
      <c r="C1034" t="n">
        <v>0</v>
      </c>
      <c r="D1034" t="n">
        <v>0</v>
      </c>
      <c r="E1034" t="s">
        <v>1044</v>
      </c>
      <c r="F1034" t="s"/>
      <c r="G1034" t="s"/>
      <c r="H1034" t="s"/>
      <c r="I1034" t="s"/>
      <c r="J1034" t="n">
        <v>-0.7524999999999999</v>
      </c>
      <c r="K1034" t="n">
        <v>0.183</v>
      </c>
      <c r="L1034" t="n">
        <v>0.779</v>
      </c>
      <c r="M1034" t="n">
        <v>0.038</v>
      </c>
    </row>
    <row r="1035" spans="1:13">
      <c r="A1035" s="1">
        <f>HYPERLINK("http://www.twitter.com/NathanBLawrence/status/994938155026464768", "994938155026464768")</f>
        <v/>
      </c>
      <c r="B1035" s="2" t="n">
        <v>43231.57771990741</v>
      </c>
      <c r="C1035" t="n">
        <v>0</v>
      </c>
      <c r="D1035" t="n">
        <v>3</v>
      </c>
      <c r="E1035" t="s">
        <v>1045</v>
      </c>
      <c r="F1035" t="s"/>
      <c r="G1035" t="s"/>
      <c r="H1035" t="s"/>
      <c r="I1035" t="s"/>
      <c r="J1035" t="n">
        <v>0.1685</v>
      </c>
      <c r="K1035" t="n">
        <v>0.107</v>
      </c>
      <c r="L1035" t="n">
        <v>0.712</v>
      </c>
      <c r="M1035" t="n">
        <v>0.181</v>
      </c>
    </row>
    <row r="1036" spans="1:13">
      <c r="A1036" s="1">
        <f>HYPERLINK("http://www.twitter.com/NathanBLawrence/status/994832289510150145", "994832289510150145")</f>
        <v/>
      </c>
      <c r="B1036" s="2" t="n">
        <v>43231.28559027778</v>
      </c>
      <c r="C1036" t="n">
        <v>0</v>
      </c>
      <c r="D1036" t="n">
        <v>2</v>
      </c>
      <c r="E1036" t="s">
        <v>1046</v>
      </c>
      <c r="F1036" t="s"/>
      <c r="G1036" t="s"/>
      <c r="H1036" t="s"/>
      <c r="I1036" t="s"/>
      <c r="J1036" t="n">
        <v>-0.6908</v>
      </c>
      <c r="K1036" t="n">
        <v>0.288</v>
      </c>
      <c r="L1036" t="n">
        <v>0.607</v>
      </c>
      <c r="M1036" t="n">
        <v>0.105</v>
      </c>
    </row>
    <row r="1037" spans="1:13">
      <c r="A1037" s="1">
        <f>HYPERLINK("http://www.twitter.com/NathanBLawrence/status/994831809119703040", "994831809119703040")</f>
        <v/>
      </c>
      <c r="B1037" s="2" t="n">
        <v>43231.28427083333</v>
      </c>
      <c r="C1037" t="n">
        <v>0</v>
      </c>
      <c r="D1037" t="n">
        <v>4</v>
      </c>
      <c r="E1037" t="s">
        <v>1047</v>
      </c>
      <c r="F1037" t="s"/>
      <c r="G1037" t="s"/>
      <c r="H1037" t="s"/>
      <c r="I1037" t="s"/>
      <c r="J1037" t="n">
        <v>0</v>
      </c>
      <c r="K1037" t="n">
        <v>0</v>
      </c>
      <c r="L1037" t="n">
        <v>1</v>
      </c>
      <c r="M1037" t="n">
        <v>0</v>
      </c>
    </row>
    <row r="1038" spans="1:13">
      <c r="A1038" s="1">
        <f>HYPERLINK("http://www.twitter.com/NathanBLawrence/status/994831465828536320", "994831465828536320")</f>
        <v/>
      </c>
      <c r="B1038" s="2" t="n">
        <v>43231.28332175926</v>
      </c>
      <c r="C1038" t="n">
        <v>0</v>
      </c>
      <c r="D1038" t="n">
        <v>2</v>
      </c>
      <c r="E1038" t="s">
        <v>1048</v>
      </c>
      <c r="F1038" t="s"/>
      <c r="G1038" t="s"/>
      <c r="H1038" t="s"/>
      <c r="I1038" t="s"/>
      <c r="J1038" t="n">
        <v>0.128</v>
      </c>
      <c r="K1038" t="n">
        <v>0.147</v>
      </c>
      <c r="L1038" t="n">
        <v>0.675</v>
      </c>
      <c r="M1038" t="n">
        <v>0.178</v>
      </c>
    </row>
    <row r="1039" spans="1:13">
      <c r="A1039" s="1">
        <f>HYPERLINK("http://www.twitter.com/NathanBLawrence/status/994830967977250817", "994830967977250817")</f>
        <v/>
      </c>
      <c r="B1039" s="2" t="n">
        <v>43231.28194444445</v>
      </c>
      <c r="C1039" t="n">
        <v>0</v>
      </c>
      <c r="D1039" t="n">
        <v>2</v>
      </c>
      <c r="E1039" t="s">
        <v>1049</v>
      </c>
      <c r="F1039">
        <f>HYPERLINK("http://pbs.twimg.com/media/Dc5DEUFWsAEOupS.jpg", "http://pbs.twimg.com/media/Dc5DEUFWsAEOupS.jpg")</f>
        <v/>
      </c>
      <c r="G1039" t="s"/>
      <c r="H1039" t="s"/>
      <c r="I1039" t="s"/>
      <c r="J1039" t="n">
        <v>0.5574</v>
      </c>
      <c r="K1039" t="n">
        <v>0</v>
      </c>
      <c r="L1039" t="n">
        <v>0.796</v>
      </c>
      <c r="M1039" t="n">
        <v>0.204</v>
      </c>
    </row>
    <row r="1040" spans="1:13">
      <c r="A1040" s="1">
        <f>HYPERLINK("http://www.twitter.com/NathanBLawrence/status/994830758199119872", "994830758199119872")</f>
        <v/>
      </c>
      <c r="B1040" s="2" t="n">
        <v>43231.28136574074</v>
      </c>
      <c r="C1040" t="n">
        <v>3</v>
      </c>
      <c r="D1040" t="n">
        <v>2</v>
      </c>
      <c r="E1040" t="s">
        <v>1050</v>
      </c>
      <c r="F1040" t="s"/>
      <c r="G1040" t="s"/>
      <c r="H1040" t="s"/>
      <c r="I1040" t="s"/>
      <c r="J1040" t="n">
        <v>0</v>
      </c>
      <c r="K1040" t="n">
        <v>0</v>
      </c>
      <c r="L1040" t="n">
        <v>1</v>
      </c>
      <c r="M1040" t="n">
        <v>0</v>
      </c>
    </row>
    <row r="1041" spans="1:13">
      <c r="A1041" s="1">
        <f>HYPERLINK("http://www.twitter.com/NathanBLawrence/status/994830032269905923", "994830032269905923")</f>
        <v/>
      </c>
      <c r="B1041" s="2" t="n">
        <v>43231.27936342593</v>
      </c>
      <c r="C1041" t="n">
        <v>4</v>
      </c>
      <c r="D1041" t="n">
        <v>2</v>
      </c>
      <c r="E1041" t="s">
        <v>1051</v>
      </c>
      <c r="F1041" t="s"/>
      <c r="G1041" t="s"/>
      <c r="H1041" t="s"/>
      <c r="I1041" t="s"/>
      <c r="J1041" t="n">
        <v>0.1922</v>
      </c>
      <c r="K1041" t="n">
        <v>0.075</v>
      </c>
      <c r="L1041" t="n">
        <v>0.832</v>
      </c>
      <c r="M1041" t="n">
        <v>0.093</v>
      </c>
    </row>
    <row r="1042" spans="1:13">
      <c r="A1042" s="1">
        <f>HYPERLINK("http://www.twitter.com/NathanBLawrence/status/994826229948846080", "994826229948846080")</f>
        <v/>
      </c>
      <c r="B1042" s="2" t="n">
        <v>43231.26886574074</v>
      </c>
      <c r="C1042" t="n">
        <v>0</v>
      </c>
      <c r="D1042" t="n">
        <v>5</v>
      </c>
      <c r="E1042" t="s">
        <v>1052</v>
      </c>
      <c r="F1042">
        <f>HYPERLINK("http://pbs.twimg.com/media/Dc5CO3zWAAAl9eg.jpg", "http://pbs.twimg.com/media/Dc5CO3zWAAAl9eg.jpg")</f>
        <v/>
      </c>
      <c r="G1042" t="s"/>
      <c r="H1042" t="s"/>
      <c r="I1042" t="s"/>
      <c r="J1042" t="n">
        <v>-0.802</v>
      </c>
      <c r="K1042" t="n">
        <v>0.291</v>
      </c>
      <c r="L1042" t="n">
        <v>0.709</v>
      </c>
      <c r="M1042" t="n">
        <v>0</v>
      </c>
    </row>
    <row r="1043" spans="1:13">
      <c r="A1043" s="1">
        <f>HYPERLINK("http://www.twitter.com/NathanBLawrence/status/994825867909107712", "994825867909107712")</f>
        <v/>
      </c>
      <c r="B1043" s="2" t="n">
        <v>43231.26787037037</v>
      </c>
      <c r="C1043" t="n">
        <v>0</v>
      </c>
      <c r="D1043" t="n">
        <v>2</v>
      </c>
      <c r="E1043" t="s">
        <v>1053</v>
      </c>
      <c r="F1043">
        <f>HYPERLINK("http://pbs.twimg.com/media/Dc3xF0-XkAA3ZT5.jpg", "http://pbs.twimg.com/media/Dc3xF0-XkAA3ZT5.jpg")</f>
        <v/>
      </c>
      <c r="G1043" t="s"/>
      <c r="H1043" t="s"/>
      <c r="I1043" t="s"/>
      <c r="J1043" t="n">
        <v>0.1027</v>
      </c>
      <c r="K1043" t="n">
        <v>0</v>
      </c>
      <c r="L1043" t="n">
        <v>0.903</v>
      </c>
      <c r="M1043" t="n">
        <v>0.097</v>
      </c>
    </row>
    <row r="1044" spans="1:13">
      <c r="A1044" s="1">
        <f>HYPERLINK("http://www.twitter.com/NathanBLawrence/status/994825827832467456", "994825827832467456")</f>
        <v/>
      </c>
      <c r="B1044" s="2" t="n">
        <v>43231.26775462963</v>
      </c>
      <c r="C1044" t="n">
        <v>0</v>
      </c>
      <c r="D1044" t="n">
        <v>2</v>
      </c>
      <c r="E1044" t="s">
        <v>1054</v>
      </c>
      <c r="F1044">
        <f>HYPERLINK("http://pbs.twimg.com/media/Dc3pDj_V0AAo4OP.jpg", "http://pbs.twimg.com/media/Dc3pDj_V0AAo4OP.jpg")</f>
        <v/>
      </c>
      <c r="G1044" t="s"/>
      <c r="H1044" t="s"/>
      <c r="I1044" t="s"/>
      <c r="J1044" t="n">
        <v>-0.1007</v>
      </c>
      <c r="K1044" t="n">
        <v>0.155</v>
      </c>
      <c r="L1044" t="n">
        <v>0.708</v>
      </c>
      <c r="M1044" t="n">
        <v>0.137</v>
      </c>
    </row>
    <row r="1045" spans="1:13">
      <c r="A1045" s="1">
        <f>HYPERLINK("http://www.twitter.com/NathanBLawrence/status/994825402051899392", "994825402051899392")</f>
        <v/>
      </c>
      <c r="B1045" s="2" t="n">
        <v>43231.26658564815</v>
      </c>
      <c r="C1045" t="n">
        <v>0</v>
      </c>
      <c r="D1045" t="n">
        <v>6</v>
      </c>
      <c r="E1045" t="s">
        <v>1055</v>
      </c>
      <c r="F1045" t="s"/>
      <c r="G1045" t="s"/>
      <c r="H1045" t="s"/>
      <c r="I1045" t="s"/>
      <c r="J1045" t="n">
        <v>-0.1779</v>
      </c>
      <c r="K1045" t="n">
        <v>0.192</v>
      </c>
      <c r="L1045" t="n">
        <v>0.679</v>
      </c>
      <c r="M1045" t="n">
        <v>0.128</v>
      </c>
    </row>
    <row r="1046" spans="1:13">
      <c r="A1046" s="1">
        <f>HYPERLINK("http://www.twitter.com/NathanBLawrence/status/994825142479015936", "994825142479015936")</f>
        <v/>
      </c>
      <c r="B1046" s="2" t="n">
        <v>43231.26586805555</v>
      </c>
      <c r="C1046" t="n">
        <v>0</v>
      </c>
      <c r="D1046" t="n">
        <v>1</v>
      </c>
      <c r="E1046" t="s">
        <v>1056</v>
      </c>
      <c r="F1046" t="s"/>
      <c r="G1046" t="s"/>
      <c r="H1046" t="s"/>
      <c r="I1046" t="s"/>
      <c r="J1046" t="n">
        <v>0.2896</v>
      </c>
      <c r="K1046" t="n">
        <v>0.179</v>
      </c>
      <c r="L1046" t="n">
        <v>0.638</v>
      </c>
      <c r="M1046" t="n">
        <v>0.183</v>
      </c>
    </row>
    <row r="1047" spans="1:13">
      <c r="A1047" s="1">
        <f>HYPERLINK("http://www.twitter.com/NathanBLawrence/status/994824999851712517", "994824999851712517")</f>
        <v/>
      </c>
      <c r="B1047" s="2" t="n">
        <v>43231.26547453704</v>
      </c>
      <c r="C1047" t="n">
        <v>0</v>
      </c>
      <c r="D1047" t="n">
        <v>1</v>
      </c>
      <c r="E1047" t="s">
        <v>1057</v>
      </c>
      <c r="F1047" t="s"/>
      <c r="G1047" t="s"/>
      <c r="H1047" t="s"/>
      <c r="I1047" t="s"/>
      <c r="J1047" t="n">
        <v>0</v>
      </c>
      <c r="K1047" t="n">
        <v>0</v>
      </c>
      <c r="L1047" t="n">
        <v>1</v>
      </c>
      <c r="M1047" t="n">
        <v>0</v>
      </c>
    </row>
    <row r="1048" spans="1:13">
      <c r="A1048" s="1">
        <f>HYPERLINK("http://www.twitter.com/NathanBLawrence/status/994824716195106816", "994824716195106816")</f>
        <v/>
      </c>
      <c r="B1048" s="2" t="n">
        <v>43231.2646875</v>
      </c>
      <c r="C1048" t="n">
        <v>0</v>
      </c>
      <c r="D1048" t="n">
        <v>345</v>
      </c>
      <c r="E1048" t="s">
        <v>1058</v>
      </c>
      <c r="F1048" t="s"/>
      <c r="G1048" t="s"/>
      <c r="H1048" t="s"/>
      <c r="I1048" t="s"/>
      <c r="J1048" t="n">
        <v>0.5859</v>
      </c>
      <c r="K1048" t="n">
        <v>0</v>
      </c>
      <c r="L1048" t="n">
        <v>0.847</v>
      </c>
      <c r="M1048" t="n">
        <v>0.153</v>
      </c>
    </row>
    <row r="1049" spans="1:13">
      <c r="A1049" s="1">
        <f>HYPERLINK("http://www.twitter.com/NathanBLawrence/status/994824614764273664", "994824614764273664")</f>
        <v/>
      </c>
      <c r="B1049" s="2" t="n">
        <v>43231.26440972222</v>
      </c>
      <c r="C1049" t="n">
        <v>0</v>
      </c>
      <c r="D1049" t="n">
        <v>4</v>
      </c>
      <c r="E1049" t="s">
        <v>1059</v>
      </c>
      <c r="F1049" t="s"/>
      <c r="G1049" t="s"/>
      <c r="H1049" t="s"/>
      <c r="I1049" t="s"/>
      <c r="J1049" t="n">
        <v>-0.5106000000000001</v>
      </c>
      <c r="K1049" t="n">
        <v>0.136</v>
      </c>
      <c r="L1049" t="n">
        <v>0.864</v>
      </c>
      <c r="M1049" t="n">
        <v>0</v>
      </c>
    </row>
    <row r="1050" spans="1:13">
      <c r="A1050" s="1">
        <f>HYPERLINK("http://www.twitter.com/NathanBLawrence/status/994823975736881153", "994823975736881153")</f>
        <v/>
      </c>
      <c r="B1050" s="2" t="n">
        <v>43231.26265046297</v>
      </c>
      <c r="C1050" t="n">
        <v>0</v>
      </c>
      <c r="D1050" t="n">
        <v>20</v>
      </c>
      <c r="E1050" t="s">
        <v>1060</v>
      </c>
      <c r="F1050" t="s"/>
      <c r="G1050" t="s"/>
      <c r="H1050" t="s"/>
      <c r="I1050" t="s"/>
      <c r="J1050" t="n">
        <v>-0.4019</v>
      </c>
      <c r="K1050" t="n">
        <v>0.144</v>
      </c>
      <c r="L1050" t="n">
        <v>0.856</v>
      </c>
      <c r="M1050" t="n">
        <v>0</v>
      </c>
    </row>
    <row r="1051" spans="1:13">
      <c r="A1051" s="1">
        <f>HYPERLINK("http://www.twitter.com/NathanBLawrence/status/994823688422862848", "994823688422862848")</f>
        <v/>
      </c>
      <c r="B1051" s="2" t="n">
        <v>43231.26185185185</v>
      </c>
      <c r="C1051" t="n">
        <v>0</v>
      </c>
      <c r="D1051" t="n">
        <v>2</v>
      </c>
      <c r="E1051" t="s">
        <v>1061</v>
      </c>
      <c r="F1051">
        <f>HYPERLINK("http://pbs.twimg.com/media/Dc5BXSbXkAA78ga.jpg", "http://pbs.twimg.com/media/Dc5BXSbXkAA78ga.jpg")</f>
        <v/>
      </c>
      <c r="G1051" t="s"/>
      <c r="H1051" t="s"/>
      <c r="I1051" t="s"/>
      <c r="J1051" t="n">
        <v>0.1779</v>
      </c>
      <c r="K1051" t="n">
        <v>0.241</v>
      </c>
      <c r="L1051" t="n">
        <v>0.535</v>
      </c>
      <c r="M1051" t="n">
        <v>0.225</v>
      </c>
    </row>
    <row r="1052" spans="1:13">
      <c r="A1052" s="1">
        <f>HYPERLINK("http://www.twitter.com/NathanBLawrence/status/994823655556345861", "994823655556345861")</f>
        <v/>
      </c>
      <c r="B1052" s="2" t="n">
        <v>43231.26177083333</v>
      </c>
      <c r="C1052" t="n">
        <v>0</v>
      </c>
      <c r="D1052" t="n">
        <v>4</v>
      </c>
      <c r="E1052" t="s">
        <v>1062</v>
      </c>
      <c r="F1052" t="s"/>
      <c r="G1052" t="s"/>
      <c r="H1052" t="s"/>
      <c r="I1052" t="s"/>
      <c r="J1052" t="n">
        <v>-0.5859</v>
      </c>
      <c r="K1052" t="n">
        <v>0.16</v>
      </c>
      <c r="L1052" t="n">
        <v>0.84</v>
      </c>
      <c r="M1052" t="n">
        <v>0</v>
      </c>
    </row>
    <row r="1053" spans="1:13">
      <c r="A1053" s="1">
        <f>HYPERLINK("http://www.twitter.com/NathanBLawrence/status/994823640561700869", "994823640561700869")</f>
        <v/>
      </c>
      <c r="B1053" s="2" t="n">
        <v>43231.26172453703</v>
      </c>
      <c r="C1053" t="n">
        <v>0</v>
      </c>
      <c r="D1053" t="n">
        <v>1</v>
      </c>
      <c r="E1053" t="s">
        <v>1063</v>
      </c>
      <c r="F1053" t="s"/>
      <c r="G1053" t="s"/>
      <c r="H1053" t="s"/>
      <c r="I1053" t="s"/>
      <c r="J1053" t="n">
        <v>-0.765</v>
      </c>
      <c r="K1053" t="n">
        <v>0.322</v>
      </c>
      <c r="L1053" t="n">
        <v>0.678</v>
      </c>
      <c r="M1053" t="n">
        <v>0</v>
      </c>
    </row>
    <row r="1054" spans="1:13">
      <c r="A1054" s="1">
        <f>HYPERLINK("http://www.twitter.com/NathanBLawrence/status/994823561457041409", "994823561457041409")</f>
        <v/>
      </c>
      <c r="B1054" s="2" t="n">
        <v>43231.26150462963</v>
      </c>
      <c r="C1054" t="n">
        <v>1</v>
      </c>
      <c r="D1054" t="n">
        <v>1</v>
      </c>
      <c r="E1054" t="s">
        <v>1064</v>
      </c>
      <c r="F1054" t="s"/>
      <c r="G1054" t="s"/>
      <c r="H1054" t="s"/>
      <c r="I1054" t="s"/>
      <c r="J1054" t="n">
        <v>-0.7574</v>
      </c>
      <c r="K1054" t="n">
        <v>0.244</v>
      </c>
      <c r="L1054" t="n">
        <v>0.712</v>
      </c>
      <c r="M1054" t="n">
        <v>0.043</v>
      </c>
    </row>
    <row r="1055" spans="1:13">
      <c r="A1055" s="1">
        <f>HYPERLINK("http://www.twitter.com/NathanBLawrence/status/994820690028187649", "994820690028187649")</f>
        <v/>
      </c>
      <c r="B1055" s="2" t="n">
        <v>43231.25358796296</v>
      </c>
      <c r="C1055" t="n">
        <v>0</v>
      </c>
      <c r="D1055" t="n">
        <v>542</v>
      </c>
      <c r="E1055" t="s">
        <v>1065</v>
      </c>
      <c r="F1055">
        <f>HYPERLINK("http://pbs.twimg.com/media/Dcyi9qXW4AU5uMS.jpg", "http://pbs.twimg.com/media/Dcyi9qXW4AU5uMS.jpg")</f>
        <v/>
      </c>
      <c r="G1055" t="s"/>
      <c r="H1055" t="s"/>
      <c r="I1055" t="s"/>
      <c r="J1055" t="n">
        <v>0</v>
      </c>
      <c r="K1055" t="n">
        <v>0</v>
      </c>
      <c r="L1055" t="n">
        <v>1</v>
      </c>
      <c r="M1055" t="n">
        <v>0</v>
      </c>
    </row>
    <row r="1056" spans="1:13">
      <c r="A1056" s="1">
        <f>HYPERLINK("http://www.twitter.com/NathanBLawrence/status/994820502958100480", "994820502958100480")</f>
        <v/>
      </c>
      <c r="B1056" s="2" t="n">
        <v>43231.25306712963</v>
      </c>
      <c r="C1056" t="n">
        <v>0</v>
      </c>
      <c r="D1056" t="n">
        <v>0</v>
      </c>
      <c r="E1056" t="s">
        <v>1066</v>
      </c>
      <c r="F1056" t="s"/>
      <c r="G1056" t="s"/>
      <c r="H1056" t="s"/>
      <c r="I1056" t="s"/>
      <c r="J1056" t="n">
        <v>-0.636</v>
      </c>
      <c r="K1056" t="n">
        <v>0.102</v>
      </c>
      <c r="L1056" t="n">
        <v>0.898</v>
      </c>
      <c r="M1056" t="n">
        <v>0</v>
      </c>
    </row>
    <row r="1057" spans="1:13">
      <c r="A1057" s="1">
        <f>HYPERLINK("http://www.twitter.com/NathanBLawrence/status/994818573414666241", "994818573414666241")</f>
        <v/>
      </c>
      <c r="B1057" s="2" t="n">
        <v>43231.24774305556</v>
      </c>
      <c r="C1057" t="n">
        <v>0</v>
      </c>
      <c r="D1057" t="n">
        <v>2</v>
      </c>
      <c r="E1057" t="s">
        <v>1067</v>
      </c>
      <c r="F1057" t="s"/>
      <c r="G1057" t="s"/>
      <c r="H1057" t="s"/>
      <c r="I1057" t="s"/>
      <c r="J1057" t="n">
        <v>0</v>
      </c>
      <c r="K1057" t="n">
        <v>0</v>
      </c>
      <c r="L1057" t="n">
        <v>1</v>
      </c>
      <c r="M1057" t="n">
        <v>0</v>
      </c>
    </row>
    <row r="1058" spans="1:13">
      <c r="A1058" s="1">
        <f>HYPERLINK("http://www.twitter.com/NathanBLawrence/status/994818558608764928", "994818558608764928")</f>
        <v/>
      </c>
      <c r="B1058" s="2" t="n">
        <v>43231.24769675926</v>
      </c>
      <c r="C1058" t="n">
        <v>0</v>
      </c>
      <c r="D1058" t="n">
        <v>4</v>
      </c>
      <c r="E1058" t="s">
        <v>1068</v>
      </c>
      <c r="F1058" t="s"/>
      <c r="G1058" t="s"/>
      <c r="H1058" t="s"/>
      <c r="I1058" t="s"/>
      <c r="J1058" t="n">
        <v>0.3612</v>
      </c>
      <c r="K1058" t="n">
        <v>0</v>
      </c>
      <c r="L1058" t="n">
        <v>0.889</v>
      </c>
      <c r="M1058" t="n">
        <v>0.111</v>
      </c>
    </row>
    <row r="1059" spans="1:13">
      <c r="A1059" s="1">
        <f>HYPERLINK("http://www.twitter.com/NathanBLawrence/status/994816965750480896", "994816965750480896")</f>
        <v/>
      </c>
      <c r="B1059" s="2" t="n">
        <v>43231.24331018519</v>
      </c>
      <c r="C1059" t="n">
        <v>1</v>
      </c>
      <c r="D1059" t="n">
        <v>0</v>
      </c>
      <c r="E1059" t="s">
        <v>1069</v>
      </c>
      <c r="F1059" t="s"/>
      <c r="G1059" t="s"/>
      <c r="H1059" t="s"/>
      <c r="I1059" t="s"/>
      <c r="J1059" t="n">
        <v>-0.0258</v>
      </c>
      <c r="K1059" t="n">
        <v>0.091</v>
      </c>
      <c r="L1059" t="n">
        <v>0.823</v>
      </c>
      <c r="M1059" t="n">
        <v>0.08599999999999999</v>
      </c>
    </row>
    <row r="1060" spans="1:13">
      <c r="A1060" s="1">
        <f>HYPERLINK("http://www.twitter.com/NathanBLawrence/status/994815025708756992", "994815025708756992")</f>
        <v/>
      </c>
      <c r="B1060" s="2" t="n">
        <v>43231.23795138889</v>
      </c>
      <c r="C1060" t="n">
        <v>0</v>
      </c>
      <c r="D1060" t="n">
        <v>0</v>
      </c>
      <c r="E1060" t="s">
        <v>1070</v>
      </c>
      <c r="F1060" t="s"/>
      <c r="G1060" t="s"/>
      <c r="H1060" t="s"/>
      <c r="I1060" t="s"/>
      <c r="J1060" t="n">
        <v>-0.636</v>
      </c>
      <c r="K1060" t="n">
        <v>0.149</v>
      </c>
      <c r="L1060" t="n">
        <v>0.851</v>
      </c>
      <c r="M1060" t="n">
        <v>0</v>
      </c>
    </row>
    <row r="1061" spans="1:13">
      <c r="A1061" s="1">
        <f>HYPERLINK("http://www.twitter.com/NathanBLawrence/status/994812908839292930", "994812908839292930")</f>
        <v/>
      </c>
      <c r="B1061" s="2" t="n">
        <v>43231.23210648148</v>
      </c>
      <c r="C1061" t="n">
        <v>1</v>
      </c>
      <c r="D1061" t="n">
        <v>1</v>
      </c>
      <c r="E1061" t="s">
        <v>1071</v>
      </c>
      <c r="F1061" t="s"/>
      <c r="G1061" t="s"/>
      <c r="H1061" t="s"/>
      <c r="I1061" t="s"/>
      <c r="J1061" t="n">
        <v>0.8682</v>
      </c>
      <c r="K1061" t="n">
        <v>0</v>
      </c>
      <c r="L1061" t="n">
        <v>0.804</v>
      </c>
      <c r="M1061" t="n">
        <v>0.196</v>
      </c>
    </row>
    <row r="1062" spans="1:13">
      <c r="A1062" s="1">
        <f>HYPERLINK("http://www.twitter.com/NathanBLawrence/status/994811357005602818", "994811357005602818")</f>
        <v/>
      </c>
      <c r="B1062" s="2" t="n">
        <v>43231.22782407407</v>
      </c>
      <c r="C1062" t="n">
        <v>0</v>
      </c>
      <c r="D1062" t="n">
        <v>0</v>
      </c>
      <c r="E1062" t="s">
        <v>1072</v>
      </c>
      <c r="F1062" t="s"/>
      <c r="G1062" t="s"/>
      <c r="H1062" t="s"/>
      <c r="I1062" t="s"/>
      <c r="J1062" t="n">
        <v>-0.5994</v>
      </c>
      <c r="K1062" t="n">
        <v>0.103</v>
      </c>
      <c r="L1062" t="n">
        <v>0.897</v>
      </c>
      <c r="M1062" t="n">
        <v>0</v>
      </c>
    </row>
    <row r="1063" spans="1:13">
      <c r="A1063" s="1">
        <f>HYPERLINK("http://www.twitter.com/NathanBLawrence/status/994808827030786049", "994808827030786049")</f>
        <v/>
      </c>
      <c r="B1063" s="2" t="n">
        <v>43231.22084490741</v>
      </c>
      <c r="C1063" t="n">
        <v>0</v>
      </c>
      <c r="D1063" t="n">
        <v>0</v>
      </c>
      <c r="E1063" t="s">
        <v>1073</v>
      </c>
      <c r="F1063" t="s"/>
      <c r="G1063" t="s"/>
      <c r="H1063" t="s"/>
      <c r="I1063" t="s"/>
      <c r="J1063" t="n">
        <v>-0.4389</v>
      </c>
      <c r="K1063" t="n">
        <v>0.092</v>
      </c>
      <c r="L1063" t="n">
        <v>0.857</v>
      </c>
      <c r="M1063" t="n">
        <v>0.051</v>
      </c>
    </row>
    <row r="1064" spans="1:13">
      <c r="A1064" s="1">
        <f>HYPERLINK("http://www.twitter.com/NathanBLawrence/status/994807295866474496", "994807295866474496")</f>
        <v/>
      </c>
      <c r="B1064" s="2" t="n">
        <v>43231.21662037037</v>
      </c>
      <c r="C1064" t="n">
        <v>0</v>
      </c>
      <c r="D1064" t="n">
        <v>0</v>
      </c>
      <c r="E1064" t="s">
        <v>1074</v>
      </c>
      <c r="F1064" t="s"/>
      <c r="G1064" t="s"/>
      <c r="H1064" t="s"/>
      <c r="I1064" t="s"/>
      <c r="J1064" t="n">
        <v>0</v>
      </c>
      <c r="K1064" t="n">
        <v>0</v>
      </c>
      <c r="L1064" t="n">
        <v>1</v>
      </c>
      <c r="M1064" t="n">
        <v>0</v>
      </c>
    </row>
    <row r="1065" spans="1:13">
      <c r="A1065" s="1">
        <f>HYPERLINK("http://www.twitter.com/NathanBLawrence/status/994804101958512640", "994804101958512640")</f>
        <v/>
      </c>
      <c r="B1065" s="2" t="n">
        <v>43231.2078125</v>
      </c>
      <c r="C1065" t="n">
        <v>0</v>
      </c>
      <c r="D1065" t="n">
        <v>2537</v>
      </c>
      <c r="E1065" t="s">
        <v>1075</v>
      </c>
      <c r="F1065" t="s"/>
      <c r="G1065" t="s"/>
      <c r="H1065" t="s"/>
      <c r="I1065" t="s"/>
      <c r="J1065" t="n">
        <v>0.4926</v>
      </c>
      <c r="K1065" t="n">
        <v>0</v>
      </c>
      <c r="L1065" t="n">
        <v>0.878</v>
      </c>
      <c r="M1065" t="n">
        <v>0.122</v>
      </c>
    </row>
    <row r="1066" spans="1:13">
      <c r="A1066" s="1">
        <f>HYPERLINK("http://www.twitter.com/NathanBLawrence/status/994803981053513730", "994803981053513730")</f>
        <v/>
      </c>
      <c r="B1066" s="2" t="n">
        <v>43231.20747685185</v>
      </c>
      <c r="C1066" t="n">
        <v>0</v>
      </c>
      <c r="D1066" t="n">
        <v>6914</v>
      </c>
      <c r="E1066" t="s">
        <v>1076</v>
      </c>
      <c r="F1066" t="s"/>
      <c r="G1066" t="s"/>
      <c r="H1066" t="s"/>
      <c r="I1066" t="s"/>
      <c r="J1066" t="n">
        <v>0.5859</v>
      </c>
      <c r="K1066" t="n">
        <v>0</v>
      </c>
      <c r="L1066" t="n">
        <v>0.863</v>
      </c>
      <c r="M1066" t="n">
        <v>0.137</v>
      </c>
    </row>
    <row r="1067" spans="1:13">
      <c r="A1067" s="1">
        <f>HYPERLINK("http://www.twitter.com/NathanBLawrence/status/994803790799888389", "994803790799888389")</f>
        <v/>
      </c>
      <c r="B1067" s="2" t="n">
        <v>43231.20694444444</v>
      </c>
      <c r="C1067" t="n">
        <v>0</v>
      </c>
      <c r="D1067" t="n">
        <v>45637</v>
      </c>
      <c r="E1067" t="s">
        <v>1077</v>
      </c>
      <c r="F1067" t="s"/>
      <c r="G1067" t="s"/>
      <c r="H1067" t="s"/>
      <c r="I1067" t="s"/>
      <c r="J1067" t="n">
        <v>0</v>
      </c>
      <c r="K1067" t="n">
        <v>0</v>
      </c>
      <c r="L1067" t="n">
        <v>1</v>
      </c>
      <c r="M1067" t="n">
        <v>0</v>
      </c>
    </row>
    <row r="1068" spans="1:13">
      <c r="A1068" s="1">
        <f>HYPERLINK("http://www.twitter.com/NathanBLawrence/status/994801842952515585", "994801842952515585")</f>
        <v/>
      </c>
      <c r="B1068" s="2" t="n">
        <v>43231.20157407408</v>
      </c>
      <c r="C1068" t="n">
        <v>0</v>
      </c>
      <c r="D1068" t="n">
        <v>9650</v>
      </c>
      <c r="E1068" t="s">
        <v>1078</v>
      </c>
      <c r="F1068" t="s"/>
      <c r="G1068" t="s"/>
      <c r="H1068" t="s"/>
      <c r="I1068" t="s"/>
      <c r="J1068" t="n">
        <v>-0.5266999999999999</v>
      </c>
      <c r="K1068" t="n">
        <v>0.239</v>
      </c>
      <c r="L1068" t="n">
        <v>0.761</v>
      </c>
      <c r="M1068" t="n">
        <v>0</v>
      </c>
    </row>
    <row r="1069" spans="1:13">
      <c r="A1069" s="1">
        <f>HYPERLINK("http://www.twitter.com/NathanBLawrence/status/994801716527759362", "994801716527759362")</f>
        <v/>
      </c>
      <c r="B1069" s="2" t="n">
        <v>43231.20122685185</v>
      </c>
      <c r="C1069" t="n">
        <v>0</v>
      </c>
      <c r="D1069" t="n">
        <v>1855</v>
      </c>
      <c r="E1069" t="s">
        <v>1079</v>
      </c>
      <c r="F1069">
        <f>HYPERLINK("http://pbs.twimg.com/media/Dc0hSxWWkAAq8N1.jpg", "http://pbs.twimg.com/media/Dc0hSxWWkAAq8N1.jpg")</f>
        <v/>
      </c>
      <c r="G1069" t="s"/>
      <c r="H1069" t="s"/>
      <c r="I1069" t="s"/>
      <c r="J1069" t="n">
        <v>0</v>
      </c>
      <c r="K1069" t="n">
        <v>0</v>
      </c>
      <c r="L1069" t="n">
        <v>1</v>
      </c>
      <c r="M1069" t="n">
        <v>0</v>
      </c>
    </row>
    <row r="1070" spans="1:13">
      <c r="A1070" s="1">
        <f>HYPERLINK("http://www.twitter.com/NathanBLawrence/status/994801621405175809", "994801621405175809")</f>
        <v/>
      </c>
      <c r="B1070" s="2" t="n">
        <v>43231.20096064815</v>
      </c>
      <c r="C1070" t="n">
        <v>0</v>
      </c>
      <c r="D1070" t="n">
        <v>8218</v>
      </c>
      <c r="E1070" t="s">
        <v>1080</v>
      </c>
      <c r="F1070">
        <f>HYPERLINK("http://pbs.twimg.com/media/Dc0iDnbW0AADLkb.jpg", "http://pbs.twimg.com/media/Dc0iDnbW0AADLkb.jpg")</f>
        <v/>
      </c>
      <c r="G1070">
        <f>HYPERLINK("http://pbs.twimg.com/media/Dc0iDnZW0AASA05.jpg", "http://pbs.twimg.com/media/Dc0iDnZW0AASA05.jpg")</f>
        <v/>
      </c>
      <c r="H1070" t="s"/>
      <c r="I1070" t="s"/>
      <c r="J1070" t="n">
        <v>0.5719</v>
      </c>
      <c r="K1070" t="n">
        <v>0</v>
      </c>
      <c r="L1070" t="n">
        <v>0.764</v>
      </c>
      <c r="M1070" t="n">
        <v>0.236</v>
      </c>
    </row>
    <row r="1071" spans="1:13">
      <c r="A1071" s="1">
        <f>HYPERLINK("http://www.twitter.com/NathanBLawrence/status/994801479889379328", "994801479889379328")</f>
        <v/>
      </c>
      <c r="B1071" s="2" t="n">
        <v>43231.20056712963</v>
      </c>
      <c r="C1071" t="n">
        <v>0</v>
      </c>
      <c r="D1071" t="n">
        <v>463</v>
      </c>
      <c r="E1071" t="s">
        <v>1081</v>
      </c>
      <c r="F1071" t="s"/>
      <c r="G1071" t="s"/>
      <c r="H1071" t="s"/>
      <c r="I1071" t="s"/>
      <c r="J1071" t="n">
        <v>0.8594000000000001</v>
      </c>
      <c r="K1071" t="n">
        <v>0</v>
      </c>
      <c r="L1071" t="n">
        <v>0.37</v>
      </c>
      <c r="M1071" t="n">
        <v>0.63</v>
      </c>
    </row>
    <row r="1072" spans="1:13">
      <c r="A1072" s="1">
        <f>HYPERLINK("http://www.twitter.com/NathanBLawrence/status/994801403393658880", "994801403393658880")</f>
        <v/>
      </c>
      <c r="B1072" s="2" t="n">
        <v>43231.2003587963</v>
      </c>
      <c r="C1072" t="n">
        <v>0</v>
      </c>
      <c r="D1072" t="n">
        <v>834</v>
      </c>
      <c r="E1072" t="s">
        <v>1082</v>
      </c>
      <c r="F1072">
        <f>HYPERLINK("https://video.twimg.com/ext_tw_video/994479258289373184/pu/vid/1280x720/kSTain1jjxOn-tYi.mp4?tag=3", "https://video.twimg.com/ext_tw_video/994479258289373184/pu/vid/1280x720/kSTain1jjxOn-tYi.mp4?tag=3")</f>
        <v/>
      </c>
      <c r="G1072" t="s"/>
      <c r="H1072" t="s"/>
      <c r="I1072" t="s"/>
      <c r="J1072" t="n">
        <v>0</v>
      </c>
      <c r="K1072" t="n">
        <v>0</v>
      </c>
      <c r="L1072" t="n">
        <v>1</v>
      </c>
      <c r="M1072" t="n">
        <v>0</v>
      </c>
    </row>
    <row r="1073" spans="1:13">
      <c r="A1073" s="1">
        <f>HYPERLINK("http://www.twitter.com/NathanBLawrence/status/994801199194001408", "994801199194001408")</f>
        <v/>
      </c>
      <c r="B1073" s="2" t="n">
        <v>43231.19980324074</v>
      </c>
      <c r="C1073" t="n">
        <v>0</v>
      </c>
      <c r="D1073" t="n">
        <v>2491</v>
      </c>
      <c r="E1073" t="s">
        <v>1083</v>
      </c>
      <c r="F1073">
        <f>HYPERLINK("https://video.twimg.com/ext_tw_video/994480708528685056/pu/vid/1280x720/2TfoGP8-91Npbeg5.mp4?tag=3", "https://video.twimg.com/ext_tw_video/994480708528685056/pu/vid/1280x720/2TfoGP8-91Npbeg5.mp4?tag=3")</f>
        <v/>
      </c>
      <c r="G1073" t="s"/>
      <c r="H1073" t="s"/>
      <c r="I1073" t="s"/>
      <c r="J1073" t="n">
        <v>0</v>
      </c>
      <c r="K1073" t="n">
        <v>0</v>
      </c>
      <c r="L1073" t="n">
        <v>1</v>
      </c>
      <c r="M1073" t="n">
        <v>0</v>
      </c>
    </row>
    <row r="1074" spans="1:13">
      <c r="A1074" s="1">
        <f>HYPERLINK("http://www.twitter.com/NathanBLawrence/status/994800922021781507", "994800922021781507")</f>
        <v/>
      </c>
      <c r="B1074" s="2" t="n">
        <v>43231.19902777778</v>
      </c>
      <c r="C1074" t="n">
        <v>0</v>
      </c>
      <c r="D1074" t="n">
        <v>411</v>
      </c>
      <c r="E1074" t="s">
        <v>1084</v>
      </c>
      <c r="F1074">
        <f>HYPERLINK("http://pbs.twimg.com/media/Dc0vHeUWAAAeHTV.jpg", "http://pbs.twimg.com/media/Dc0vHeUWAAAeHTV.jpg")</f>
        <v/>
      </c>
      <c r="G1074" t="s"/>
      <c r="H1074" t="s"/>
      <c r="I1074" t="s"/>
      <c r="J1074" t="n">
        <v>0.5994</v>
      </c>
      <c r="K1074" t="n">
        <v>0</v>
      </c>
      <c r="L1074" t="n">
        <v>0.505</v>
      </c>
      <c r="M1074" t="n">
        <v>0.495</v>
      </c>
    </row>
    <row r="1075" spans="1:13">
      <c r="A1075" s="1">
        <f>HYPERLINK("http://www.twitter.com/NathanBLawrence/status/994800657910697990", "994800657910697990")</f>
        <v/>
      </c>
      <c r="B1075" s="2" t="n">
        <v>43231.19831018519</v>
      </c>
      <c r="C1075" t="n">
        <v>0</v>
      </c>
      <c r="D1075" t="n">
        <v>17937</v>
      </c>
      <c r="E1075" t="s">
        <v>1085</v>
      </c>
      <c r="F1075" t="s"/>
      <c r="G1075" t="s"/>
      <c r="H1075" t="s"/>
      <c r="I1075" t="s"/>
      <c r="J1075" t="n">
        <v>0.4199</v>
      </c>
      <c r="K1075" t="n">
        <v>0</v>
      </c>
      <c r="L1075" t="n">
        <v>0.6820000000000001</v>
      </c>
      <c r="M1075" t="n">
        <v>0.318</v>
      </c>
    </row>
    <row r="1076" spans="1:13">
      <c r="A1076" s="1">
        <f>HYPERLINK("http://www.twitter.com/NathanBLawrence/status/994800613753065475", "994800613753065475")</f>
        <v/>
      </c>
      <c r="B1076" s="2" t="n">
        <v>43231.19818287037</v>
      </c>
      <c r="C1076" t="n">
        <v>0</v>
      </c>
      <c r="D1076" t="n">
        <v>62945</v>
      </c>
      <c r="E1076" t="s">
        <v>1086</v>
      </c>
      <c r="F1076" t="s"/>
      <c r="G1076" t="s"/>
      <c r="H1076" t="s"/>
      <c r="I1076" t="s"/>
      <c r="J1076" t="n">
        <v>0</v>
      </c>
      <c r="K1076" t="n">
        <v>0</v>
      </c>
      <c r="L1076" t="n">
        <v>1</v>
      </c>
      <c r="M1076" t="n">
        <v>0</v>
      </c>
    </row>
    <row r="1077" spans="1:13">
      <c r="A1077" s="1">
        <f>HYPERLINK("http://www.twitter.com/NathanBLawrence/status/994800545415168000", "994800545415168000")</f>
        <v/>
      </c>
      <c r="B1077" s="2" t="n">
        <v>43231.19799768519</v>
      </c>
      <c r="C1077" t="n">
        <v>0</v>
      </c>
      <c r="D1077" t="n">
        <v>68902</v>
      </c>
      <c r="E1077" t="s">
        <v>1087</v>
      </c>
      <c r="F1077" t="s"/>
      <c r="G1077" t="s"/>
      <c r="H1077" t="s"/>
      <c r="I1077" t="s"/>
      <c r="J1077" t="n">
        <v>0</v>
      </c>
      <c r="K1077" t="n">
        <v>0</v>
      </c>
      <c r="L1077" t="n">
        <v>1</v>
      </c>
      <c r="M1077" t="n">
        <v>0</v>
      </c>
    </row>
    <row r="1078" spans="1:13">
      <c r="A1078" s="1">
        <f>HYPERLINK("http://www.twitter.com/NathanBLawrence/status/994800511911190536", "994800511911190536")</f>
        <v/>
      </c>
      <c r="B1078" s="2" t="n">
        <v>43231.19790509259</v>
      </c>
      <c r="C1078" t="n">
        <v>0</v>
      </c>
      <c r="D1078" t="n">
        <v>26904</v>
      </c>
      <c r="E1078" t="s">
        <v>1088</v>
      </c>
      <c r="F1078" t="s"/>
      <c r="G1078" t="s"/>
      <c r="H1078" t="s"/>
      <c r="I1078" t="s"/>
      <c r="J1078" t="n">
        <v>-0.7351</v>
      </c>
      <c r="K1078" t="n">
        <v>0.265</v>
      </c>
      <c r="L1078" t="n">
        <v>0.735</v>
      </c>
      <c r="M1078" t="n">
        <v>0</v>
      </c>
    </row>
    <row r="1079" spans="1:13">
      <c r="A1079" s="1">
        <f>HYPERLINK("http://www.twitter.com/NathanBLawrence/status/994800365114667008", "994800365114667008")</f>
        <v/>
      </c>
      <c r="B1079" s="2" t="n">
        <v>43231.1975</v>
      </c>
      <c r="C1079" t="n">
        <v>0</v>
      </c>
      <c r="D1079" t="n">
        <v>49888</v>
      </c>
      <c r="E1079" t="s">
        <v>1089</v>
      </c>
      <c r="F1079">
        <f>HYPERLINK("https://video.twimg.com/ext_tw_video/994517769415774209/pu/vid/1280x720/sDk6OuUUNEAVPSmH.mp4?tag=3", "https://video.twimg.com/ext_tw_video/994517769415774209/pu/vid/1280x720/sDk6OuUUNEAVPSmH.mp4?tag=3")</f>
        <v/>
      </c>
      <c r="G1079" t="s"/>
      <c r="H1079" t="s"/>
      <c r="I1079" t="s"/>
      <c r="J1079" t="n">
        <v>0.6155</v>
      </c>
      <c r="K1079" t="n">
        <v>0</v>
      </c>
      <c r="L1079" t="n">
        <v>0.713</v>
      </c>
      <c r="M1079" t="n">
        <v>0.287</v>
      </c>
    </row>
    <row r="1080" spans="1:13">
      <c r="A1080" s="1">
        <f>HYPERLINK("http://www.twitter.com/NathanBLawrence/status/994799539939889153", "994799539939889153")</f>
        <v/>
      </c>
      <c r="B1080" s="2" t="n">
        <v>43231.19521990741</v>
      </c>
      <c r="C1080" t="n">
        <v>0</v>
      </c>
      <c r="D1080" t="n">
        <v>8472</v>
      </c>
      <c r="E1080" t="s">
        <v>1090</v>
      </c>
      <c r="F1080" t="s"/>
      <c r="G1080" t="s"/>
      <c r="H1080" t="s"/>
      <c r="I1080" t="s"/>
      <c r="J1080" t="n">
        <v>-0.0394</v>
      </c>
      <c r="K1080" t="n">
        <v>0.1</v>
      </c>
      <c r="L1080" t="n">
        <v>0.805</v>
      </c>
      <c r="M1080" t="n">
        <v>0.094</v>
      </c>
    </row>
    <row r="1081" spans="1:13">
      <c r="A1081" s="1">
        <f>HYPERLINK("http://www.twitter.com/NathanBLawrence/status/994796432551968769", "994796432551968769")</f>
        <v/>
      </c>
      <c r="B1081" s="2" t="n">
        <v>43231.18664351852</v>
      </c>
      <c r="C1081" t="n">
        <v>0</v>
      </c>
      <c r="D1081" t="n">
        <v>1246</v>
      </c>
      <c r="E1081" t="s">
        <v>1091</v>
      </c>
      <c r="F1081" t="s"/>
      <c r="G1081" t="s"/>
      <c r="H1081" t="s"/>
      <c r="I1081" t="s"/>
      <c r="J1081" t="n">
        <v>-0.4404</v>
      </c>
      <c r="K1081" t="n">
        <v>0.139</v>
      </c>
      <c r="L1081" t="n">
        <v>0.861</v>
      </c>
      <c r="M1081" t="n">
        <v>0</v>
      </c>
    </row>
    <row r="1082" spans="1:13">
      <c r="A1082" s="1">
        <f>HYPERLINK("http://www.twitter.com/NathanBLawrence/status/994796397303160832", "994796397303160832")</f>
        <v/>
      </c>
      <c r="B1082" s="2" t="n">
        <v>43231.18655092592</v>
      </c>
      <c r="C1082" t="n">
        <v>0</v>
      </c>
      <c r="D1082" t="n">
        <v>3428</v>
      </c>
      <c r="E1082" t="s">
        <v>1092</v>
      </c>
      <c r="F1082" t="s"/>
      <c r="G1082" t="s"/>
      <c r="H1082" t="s"/>
      <c r="I1082" t="s"/>
      <c r="J1082" t="n">
        <v>0.1027</v>
      </c>
      <c r="K1082" t="n">
        <v>0</v>
      </c>
      <c r="L1082" t="n">
        <v>0.947</v>
      </c>
      <c r="M1082" t="n">
        <v>0.053</v>
      </c>
    </row>
    <row r="1083" spans="1:13">
      <c r="A1083" s="1">
        <f>HYPERLINK("http://www.twitter.com/NathanBLawrence/status/994796076040441856", "994796076040441856")</f>
        <v/>
      </c>
      <c r="B1083" s="2" t="n">
        <v>43231.18565972222</v>
      </c>
      <c r="C1083" t="n">
        <v>0</v>
      </c>
      <c r="D1083" t="n">
        <v>13657</v>
      </c>
      <c r="E1083" t="s">
        <v>1093</v>
      </c>
      <c r="F1083" t="s"/>
      <c r="G1083" t="s"/>
      <c r="H1083" t="s"/>
      <c r="I1083" t="s"/>
      <c r="J1083" t="n">
        <v>0</v>
      </c>
      <c r="K1083" t="n">
        <v>0</v>
      </c>
      <c r="L1083" t="n">
        <v>1</v>
      </c>
      <c r="M1083" t="n">
        <v>0</v>
      </c>
    </row>
    <row r="1084" spans="1:13">
      <c r="A1084" s="1">
        <f>HYPERLINK("http://www.twitter.com/NathanBLawrence/status/994613524369477634", "994613524369477634")</f>
        <v/>
      </c>
      <c r="B1084" s="2" t="n">
        <v>43230.68190972223</v>
      </c>
      <c r="C1084" t="n">
        <v>2</v>
      </c>
      <c r="D1084" t="n">
        <v>1</v>
      </c>
      <c r="E1084" t="s">
        <v>1094</v>
      </c>
      <c r="F1084" t="s"/>
      <c r="G1084" t="s"/>
      <c r="H1084" t="s"/>
      <c r="I1084" t="s"/>
      <c r="J1084" t="n">
        <v>0.4818</v>
      </c>
      <c r="K1084" t="n">
        <v>0.169</v>
      </c>
      <c r="L1084" t="n">
        <v>0.541</v>
      </c>
      <c r="M1084" t="n">
        <v>0.29</v>
      </c>
    </row>
    <row r="1085" spans="1:13">
      <c r="A1085" s="1">
        <f>HYPERLINK("http://www.twitter.com/NathanBLawrence/status/994482578689212416", "994482578689212416")</f>
        <v/>
      </c>
      <c r="B1085" s="2" t="n">
        <v>43230.3205787037</v>
      </c>
      <c r="C1085" t="n">
        <v>0</v>
      </c>
      <c r="D1085" t="n">
        <v>1159</v>
      </c>
      <c r="E1085" t="s">
        <v>1095</v>
      </c>
      <c r="F1085" t="s"/>
      <c r="G1085" t="s"/>
      <c r="H1085" t="s"/>
      <c r="I1085" t="s"/>
      <c r="J1085" t="n">
        <v>0</v>
      </c>
      <c r="K1085" t="n">
        <v>0</v>
      </c>
      <c r="L1085" t="n">
        <v>1</v>
      </c>
      <c r="M1085" t="n">
        <v>0</v>
      </c>
    </row>
    <row r="1086" spans="1:13">
      <c r="A1086" s="1">
        <f>HYPERLINK("http://www.twitter.com/NathanBLawrence/status/994481410491609088", "994481410491609088")</f>
        <v/>
      </c>
      <c r="B1086" s="2" t="n">
        <v>43230.31734953704</v>
      </c>
      <c r="C1086" t="n">
        <v>0</v>
      </c>
      <c r="D1086" t="n">
        <v>0</v>
      </c>
      <c r="E1086" t="s">
        <v>1096</v>
      </c>
      <c r="F1086" t="s"/>
      <c r="G1086" t="s"/>
      <c r="H1086" t="s"/>
      <c r="I1086" t="s"/>
      <c r="J1086" t="n">
        <v>-0.7964</v>
      </c>
      <c r="K1086" t="n">
        <v>0.262</v>
      </c>
      <c r="L1086" t="n">
        <v>0.738</v>
      </c>
      <c r="M1086" t="n">
        <v>0</v>
      </c>
    </row>
    <row r="1087" spans="1:13">
      <c r="A1087" s="1">
        <f>HYPERLINK("http://www.twitter.com/NathanBLawrence/status/994479732329668608", "994479732329668608")</f>
        <v/>
      </c>
      <c r="B1087" s="2" t="n">
        <v>43230.31271990741</v>
      </c>
      <c r="C1087" t="n">
        <v>0</v>
      </c>
      <c r="D1087" t="n">
        <v>4068</v>
      </c>
      <c r="E1087" t="s">
        <v>1097</v>
      </c>
      <c r="F1087" t="s"/>
      <c r="G1087" t="s"/>
      <c r="H1087" t="s"/>
      <c r="I1087" t="s"/>
      <c r="J1087" t="n">
        <v>0</v>
      </c>
      <c r="K1087" t="n">
        <v>0</v>
      </c>
      <c r="L1087" t="n">
        <v>1</v>
      </c>
      <c r="M1087" t="n">
        <v>0</v>
      </c>
    </row>
    <row r="1088" spans="1:13">
      <c r="A1088" s="1">
        <f>HYPERLINK("http://www.twitter.com/NathanBLawrence/status/994479492184793088", "994479492184793088")</f>
        <v/>
      </c>
      <c r="B1088" s="2" t="n">
        <v>43230.31206018518</v>
      </c>
      <c r="C1088" t="n">
        <v>0</v>
      </c>
      <c r="D1088" t="n">
        <v>3877</v>
      </c>
      <c r="E1088" t="s">
        <v>1098</v>
      </c>
      <c r="F1088">
        <f>HYPERLINK("http://pbs.twimg.com/media/DcwkEv-V0AEMzdn.jpg", "http://pbs.twimg.com/media/DcwkEv-V0AEMzdn.jpg")</f>
        <v/>
      </c>
      <c r="G1088" t="s"/>
      <c r="H1088" t="s"/>
      <c r="I1088" t="s"/>
      <c r="J1088" t="n">
        <v>0.5574</v>
      </c>
      <c r="K1088" t="n">
        <v>0</v>
      </c>
      <c r="L1088" t="n">
        <v>0.753</v>
      </c>
      <c r="M1088" t="n">
        <v>0.247</v>
      </c>
    </row>
    <row r="1089" spans="1:13">
      <c r="A1089" s="1">
        <f>HYPERLINK("http://www.twitter.com/NathanBLawrence/status/994479271828586496", "994479271828586496")</f>
        <v/>
      </c>
      <c r="B1089" s="2" t="n">
        <v>43230.31144675926</v>
      </c>
      <c r="C1089" t="n">
        <v>0</v>
      </c>
      <c r="D1089" t="n">
        <v>5517</v>
      </c>
      <c r="E1089" t="s">
        <v>1099</v>
      </c>
      <c r="F1089">
        <f>HYPERLINK("http://pbs.twimg.com/media/DczFECrV4AAiFeB.jpg", "http://pbs.twimg.com/media/DczFECrV4AAiFeB.jpg")</f>
        <v/>
      </c>
      <c r="G1089" t="s"/>
      <c r="H1089" t="s"/>
      <c r="I1089" t="s"/>
      <c r="J1089" t="n">
        <v>0.3818</v>
      </c>
      <c r="K1089" t="n">
        <v>0</v>
      </c>
      <c r="L1089" t="n">
        <v>0.885</v>
      </c>
      <c r="M1089" t="n">
        <v>0.115</v>
      </c>
    </row>
    <row r="1090" spans="1:13">
      <c r="A1090" s="1">
        <f>HYPERLINK("http://www.twitter.com/NathanBLawrence/status/994479141188599808", "994479141188599808")</f>
        <v/>
      </c>
      <c r="B1090" s="2" t="n">
        <v>43230.31108796296</v>
      </c>
      <c r="C1090" t="n">
        <v>0</v>
      </c>
      <c r="D1090" t="n">
        <v>4596</v>
      </c>
      <c r="E1090" t="s">
        <v>1100</v>
      </c>
      <c r="F1090">
        <f>HYPERLINK("http://pbs.twimg.com/media/Dc0TP1mW0AAN61p.jpg", "http://pbs.twimg.com/media/Dc0TP1mW0AAN61p.jpg")</f>
        <v/>
      </c>
      <c r="G1090" t="s"/>
      <c r="H1090" t="s"/>
      <c r="I1090" t="s"/>
      <c r="J1090" t="n">
        <v>0.4588</v>
      </c>
      <c r="K1090" t="n">
        <v>0</v>
      </c>
      <c r="L1090" t="n">
        <v>0.842</v>
      </c>
      <c r="M1090" t="n">
        <v>0.158</v>
      </c>
    </row>
    <row r="1091" spans="1:13">
      <c r="A1091" s="1">
        <f>HYPERLINK("http://www.twitter.com/NathanBLawrence/status/994478970799247360", "994478970799247360")</f>
        <v/>
      </c>
      <c r="B1091" s="2" t="n">
        <v>43230.31061342593</v>
      </c>
      <c r="C1091" t="n">
        <v>0</v>
      </c>
      <c r="D1091" t="n">
        <v>398</v>
      </c>
      <c r="E1091" t="s">
        <v>1101</v>
      </c>
      <c r="F1091">
        <f>HYPERLINK("http://pbs.twimg.com/media/Dc0XUEhWAAAtJch.jpg", "http://pbs.twimg.com/media/Dc0XUEhWAAAtJch.jpg")</f>
        <v/>
      </c>
      <c r="G1091" t="s"/>
      <c r="H1091" t="s"/>
      <c r="I1091" t="s"/>
      <c r="J1091" t="n">
        <v>0.5106000000000001</v>
      </c>
      <c r="K1091" t="n">
        <v>0</v>
      </c>
      <c r="L1091" t="n">
        <v>0.798</v>
      </c>
      <c r="M1091" t="n">
        <v>0.202</v>
      </c>
    </row>
    <row r="1092" spans="1:13">
      <c r="A1092" s="1">
        <f>HYPERLINK("http://www.twitter.com/NathanBLawrence/status/994478729219854336", "994478729219854336")</f>
        <v/>
      </c>
      <c r="B1092" s="2" t="n">
        <v>43230.30995370371</v>
      </c>
      <c r="C1092" t="n">
        <v>0</v>
      </c>
      <c r="D1092" t="n">
        <v>15864</v>
      </c>
      <c r="E1092" t="s">
        <v>1102</v>
      </c>
      <c r="F1092">
        <f>HYPERLINK("https://video.twimg.com/ext_tw_video/992106465119780864/pu/vid/1280x720/f__51xilfkS49s3x.mp4?tag=3", "https://video.twimg.com/ext_tw_video/992106465119780864/pu/vid/1280x720/f__51xilfkS49s3x.mp4?tag=3")</f>
        <v/>
      </c>
      <c r="G1092" t="s"/>
      <c r="H1092" t="s"/>
      <c r="I1092" t="s"/>
      <c r="J1092" t="n">
        <v>0</v>
      </c>
      <c r="K1092" t="n">
        <v>0</v>
      </c>
      <c r="L1092" t="n">
        <v>1</v>
      </c>
      <c r="M1092" t="n">
        <v>0</v>
      </c>
    </row>
    <row r="1093" spans="1:13">
      <c r="A1093" s="1">
        <f>HYPERLINK("http://www.twitter.com/NathanBLawrence/status/994478610068074498", "994478610068074498")</f>
        <v/>
      </c>
      <c r="B1093" s="2" t="n">
        <v>43230.30961805556</v>
      </c>
      <c r="C1093" t="n">
        <v>0</v>
      </c>
      <c r="D1093" t="n">
        <v>19147</v>
      </c>
      <c r="E1093" t="s">
        <v>1103</v>
      </c>
      <c r="F1093" t="s"/>
      <c r="G1093" t="s"/>
      <c r="H1093" t="s"/>
      <c r="I1093" t="s"/>
      <c r="J1093" t="n">
        <v>0</v>
      </c>
      <c r="K1093" t="n">
        <v>0</v>
      </c>
      <c r="L1093" t="n">
        <v>1</v>
      </c>
      <c r="M1093" t="n">
        <v>0</v>
      </c>
    </row>
    <row r="1094" spans="1:13">
      <c r="A1094" s="1">
        <f>HYPERLINK("http://www.twitter.com/NathanBLawrence/status/994478321424576512", "994478321424576512")</f>
        <v/>
      </c>
      <c r="B1094" s="2" t="n">
        <v>43230.30881944444</v>
      </c>
      <c r="C1094" t="n">
        <v>0</v>
      </c>
      <c r="D1094" t="n">
        <v>0</v>
      </c>
      <c r="E1094" t="s">
        <v>1104</v>
      </c>
      <c r="F1094" t="s"/>
      <c r="G1094" t="s"/>
      <c r="H1094" t="s"/>
      <c r="I1094" t="s"/>
      <c r="J1094" t="n">
        <v>-0.9633</v>
      </c>
      <c r="K1094" t="n">
        <v>0.415</v>
      </c>
      <c r="L1094" t="n">
        <v>0.486</v>
      </c>
      <c r="M1094" t="n">
        <v>0.099</v>
      </c>
    </row>
    <row r="1095" spans="1:13">
      <c r="A1095" s="1">
        <f>HYPERLINK("http://www.twitter.com/NathanBLawrence/status/994475684641714176", "994475684641714176")</f>
        <v/>
      </c>
      <c r="B1095" s="2" t="n">
        <v>43230.30155092593</v>
      </c>
      <c r="C1095" t="n">
        <v>0</v>
      </c>
      <c r="D1095" t="n">
        <v>0</v>
      </c>
      <c r="E1095" t="s">
        <v>1105</v>
      </c>
      <c r="F1095" t="s"/>
      <c r="G1095" t="s"/>
      <c r="H1095" t="s"/>
      <c r="I1095" t="s"/>
      <c r="J1095" t="n">
        <v>-0.5423</v>
      </c>
      <c r="K1095" t="n">
        <v>0.333</v>
      </c>
      <c r="L1095" t="n">
        <v>0.667</v>
      </c>
      <c r="M1095" t="n">
        <v>0</v>
      </c>
    </row>
    <row r="1096" spans="1:13">
      <c r="A1096" s="1">
        <f>HYPERLINK("http://www.twitter.com/NathanBLawrence/status/994475223654133760", "994475223654133760")</f>
        <v/>
      </c>
      <c r="B1096" s="2" t="n">
        <v>43230.30027777778</v>
      </c>
      <c r="C1096" t="n">
        <v>1</v>
      </c>
      <c r="D1096" t="n">
        <v>0</v>
      </c>
      <c r="E1096" t="s">
        <v>1106</v>
      </c>
      <c r="F1096" t="s"/>
      <c r="G1096" t="s"/>
      <c r="H1096" t="s"/>
      <c r="I1096" t="s"/>
      <c r="J1096" t="n">
        <v>0</v>
      </c>
      <c r="K1096" t="n">
        <v>0</v>
      </c>
      <c r="L1096" t="n">
        <v>1</v>
      </c>
      <c r="M1096" t="n">
        <v>0</v>
      </c>
    </row>
    <row r="1097" spans="1:13">
      <c r="A1097" s="1">
        <f>HYPERLINK("http://www.twitter.com/NathanBLawrence/status/994475165110038530", "994475165110038530")</f>
        <v/>
      </c>
      <c r="B1097" s="2" t="n">
        <v>43230.30011574074</v>
      </c>
      <c r="C1097" t="n">
        <v>1</v>
      </c>
      <c r="D1097" t="n">
        <v>0</v>
      </c>
      <c r="E1097" t="s">
        <v>1107</v>
      </c>
      <c r="F1097" t="s"/>
      <c r="G1097" t="s"/>
      <c r="H1097" t="s"/>
      <c r="I1097" t="s"/>
      <c r="J1097" t="n">
        <v>0.3612</v>
      </c>
      <c r="K1097" t="n">
        <v>0</v>
      </c>
      <c r="L1097" t="n">
        <v>0.667</v>
      </c>
      <c r="M1097" t="n">
        <v>0.333</v>
      </c>
    </row>
    <row r="1098" spans="1:13">
      <c r="A1098" s="1">
        <f>HYPERLINK("http://www.twitter.com/NathanBLawrence/status/994474423871717377", "994474423871717377")</f>
        <v/>
      </c>
      <c r="B1098" s="2" t="n">
        <v>43230.29806712963</v>
      </c>
      <c r="C1098" t="n">
        <v>0</v>
      </c>
      <c r="D1098" t="n">
        <v>0</v>
      </c>
      <c r="E1098" t="s">
        <v>1108</v>
      </c>
      <c r="F1098" t="s"/>
      <c r="G1098" t="s"/>
      <c r="H1098" t="s"/>
      <c r="I1098" t="s"/>
      <c r="J1098" t="n">
        <v>-0.8357</v>
      </c>
      <c r="K1098" t="n">
        <v>0.297</v>
      </c>
      <c r="L1098" t="n">
        <v>0.703</v>
      </c>
      <c r="M1098" t="n">
        <v>0</v>
      </c>
    </row>
    <row r="1099" spans="1:13">
      <c r="A1099" s="1">
        <f>HYPERLINK("http://www.twitter.com/NathanBLawrence/status/994473740888035328", "994473740888035328")</f>
        <v/>
      </c>
      <c r="B1099" s="2" t="n">
        <v>43230.29618055555</v>
      </c>
      <c r="C1099" t="n">
        <v>0</v>
      </c>
      <c r="D1099" t="n">
        <v>7</v>
      </c>
      <c r="E1099" t="s">
        <v>1109</v>
      </c>
      <c r="F1099" t="s"/>
      <c r="G1099" t="s"/>
      <c r="H1099" t="s"/>
      <c r="I1099" t="s"/>
      <c r="J1099" t="n">
        <v>0.2732</v>
      </c>
      <c r="K1099" t="n">
        <v>0.124</v>
      </c>
      <c r="L1099" t="n">
        <v>0.6840000000000001</v>
      </c>
      <c r="M1099" t="n">
        <v>0.192</v>
      </c>
    </row>
    <row r="1100" spans="1:13">
      <c r="A1100" s="1">
        <f>HYPERLINK("http://www.twitter.com/NathanBLawrence/status/994473458498134017", "994473458498134017")</f>
        <v/>
      </c>
      <c r="B1100" s="2" t="n">
        <v>43230.29540509259</v>
      </c>
      <c r="C1100" t="n">
        <v>1</v>
      </c>
      <c r="D1100" t="n">
        <v>0</v>
      </c>
      <c r="E1100" t="s">
        <v>1110</v>
      </c>
      <c r="F1100" t="s"/>
      <c r="G1100" t="s"/>
      <c r="H1100" t="s"/>
      <c r="I1100" t="s"/>
      <c r="J1100" t="n">
        <v>-0.5106000000000001</v>
      </c>
      <c r="K1100" t="n">
        <v>0.148</v>
      </c>
      <c r="L1100" t="n">
        <v>0.852</v>
      </c>
      <c r="M1100" t="n">
        <v>0</v>
      </c>
    </row>
    <row r="1101" spans="1:13">
      <c r="A1101" s="1">
        <f>HYPERLINK("http://www.twitter.com/NathanBLawrence/status/994473126309216256", "994473126309216256")</f>
        <v/>
      </c>
      <c r="B1101" s="2" t="n">
        <v>43230.29449074074</v>
      </c>
      <c r="C1101" t="n">
        <v>0</v>
      </c>
      <c r="D1101" t="n">
        <v>0</v>
      </c>
      <c r="E1101" t="s">
        <v>1111</v>
      </c>
      <c r="F1101" t="s"/>
      <c r="G1101" t="s"/>
      <c r="H1101" t="s"/>
      <c r="I1101" t="s"/>
      <c r="J1101" t="n">
        <v>0.5244</v>
      </c>
      <c r="K1101" t="n">
        <v>0</v>
      </c>
      <c r="L1101" t="n">
        <v>0.371</v>
      </c>
      <c r="M1101" t="n">
        <v>0.629</v>
      </c>
    </row>
    <row r="1102" spans="1:13">
      <c r="A1102" s="1">
        <f>HYPERLINK("http://www.twitter.com/NathanBLawrence/status/994472978933940225", "994472978933940225")</f>
        <v/>
      </c>
      <c r="B1102" s="2" t="n">
        <v>43230.29408564815</v>
      </c>
      <c r="C1102" t="n">
        <v>2</v>
      </c>
      <c r="D1102" t="n">
        <v>0</v>
      </c>
      <c r="E1102" t="s">
        <v>1112</v>
      </c>
      <c r="F1102" t="s"/>
      <c r="G1102" t="s"/>
      <c r="H1102" t="s"/>
      <c r="I1102" t="s"/>
      <c r="J1102" t="n">
        <v>0.4019</v>
      </c>
      <c r="K1102" t="n">
        <v>0</v>
      </c>
      <c r="L1102" t="n">
        <v>0.6899999999999999</v>
      </c>
      <c r="M1102" t="n">
        <v>0.31</v>
      </c>
    </row>
    <row r="1103" spans="1:13">
      <c r="A1103" s="1">
        <f>HYPERLINK("http://www.twitter.com/NathanBLawrence/status/994472706857824257", "994472706857824257")</f>
        <v/>
      </c>
      <c r="B1103" s="2" t="n">
        <v>43230.29333333333</v>
      </c>
      <c r="C1103" t="n">
        <v>5</v>
      </c>
      <c r="D1103" t="n">
        <v>2</v>
      </c>
      <c r="E1103" t="s">
        <v>1113</v>
      </c>
      <c r="F1103" t="s"/>
      <c r="G1103" t="s"/>
      <c r="H1103" t="s"/>
      <c r="I1103" t="s"/>
      <c r="J1103" t="n">
        <v>0.7783</v>
      </c>
      <c r="K1103" t="n">
        <v>0.063</v>
      </c>
      <c r="L1103" t="n">
        <v>0.755</v>
      </c>
      <c r="M1103" t="n">
        <v>0.182</v>
      </c>
    </row>
    <row r="1104" spans="1:13">
      <c r="A1104" s="1">
        <f>HYPERLINK("http://www.twitter.com/NathanBLawrence/status/994471431219044353", "994471431219044353")</f>
        <v/>
      </c>
      <c r="B1104" s="2" t="n">
        <v>43230.28981481482</v>
      </c>
      <c r="C1104" t="n">
        <v>0</v>
      </c>
      <c r="D1104" t="n">
        <v>16</v>
      </c>
      <c r="E1104" t="s">
        <v>1114</v>
      </c>
      <c r="F1104" t="s"/>
      <c r="G1104" t="s"/>
      <c r="H1104" t="s"/>
      <c r="I1104" t="s"/>
      <c r="J1104" t="n">
        <v>0.8168</v>
      </c>
      <c r="K1104" t="n">
        <v>0.046</v>
      </c>
      <c r="L1104" t="n">
        <v>0.66</v>
      </c>
      <c r="M1104" t="n">
        <v>0.293</v>
      </c>
    </row>
    <row r="1105" spans="1:13">
      <c r="A1105" s="1">
        <f>HYPERLINK("http://www.twitter.com/NathanBLawrence/status/994470685144596480", "994470685144596480")</f>
        <v/>
      </c>
      <c r="B1105" s="2" t="n">
        <v>43230.28775462963</v>
      </c>
      <c r="C1105" t="n">
        <v>5</v>
      </c>
      <c r="D1105" t="n">
        <v>2</v>
      </c>
      <c r="E1105" t="s">
        <v>1115</v>
      </c>
      <c r="F1105" t="s"/>
      <c r="G1105" t="s"/>
      <c r="H1105" t="s"/>
      <c r="I1105" t="s"/>
      <c r="J1105" t="n">
        <v>-0.7845</v>
      </c>
      <c r="K1105" t="n">
        <v>0.229</v>
      </c>
      <c r="L1105" t="n">
        <v>0.619</v>
      </c>
      <c r="M1105" t="n">
        <v>0.152</v>
      </c>
    </row>
    <row r="1106" spans="1:13">
      <c r="A1106" s="1">
        <f>HYPERLINK("http://www.twitter.com/NathanBLawrence/status/994469166743568385", "994469166743568385")</f>
        <v/>
      </c>
      <c r="B1106" s="2" t="n">
        <v>43230.28356481482</v>
      </c>
      <c r="C1106" t="n">
        <v>0</v>
      </c>
      <c r="D1106" t="n">
        <v>15</v>
      </c>
      <c r="E1106" t="s">
        <v>1116</v>
      </c>
      <c r="F1106" t="s"/>
      <c r="G1106" t="s"/>
      <c r="H1106" t="s"/>
      <c r="I1106" t="s"/>
      <c r="J1106" t="n">
        <v>-0.8316</v>
      </c>
      <c r="K1106" t="n">
        <v>0.286</v>
      </c>
      <c r="L1106" t="n">
        <v>0.714</v>
      </c>
      <c r="M1106" t="n">
        <v>0</v>
      </c>
    </row>
    <row r="1107" spans="1:13">
      <c r="A1107" s="1">
        <f>HYPERLINK("http://www.twitter.com/NathanBLawrence/status/994469148083318784", "994469148083318784")</f>
        <v/>
      </c>
      <c r="B1107" s="2" t="n">
        <v>43230.28350694444</v>
      </c>
      <c r="C1107" t="n">
        <v>0</v>
      </c>
      <c r="D1107" t="n">
        <v>5</v>
      </c>
      <c r="E1107" t="s">
        <v>1117</v>
      </c>
      <c r="F1107" t="s"/>
      <c r="G1107" t="s"/>
      <c r="H1107" t="s"/>
      <c r="I1107" t="s"/>
      <c r="J1107" t="n">
        <v>0.7227</v>
      </c>
      <c r="K1107" t="n">
        <v>0</v>
      </c>
      <c r="L1107" t="n">
        <v>0.694</v>
      </c>
      <c r="M1107" t="n">
        <v>0.306</v>
      </c>
    </row>
    <row r="1108" spans="1:13">
      <c r="A1108" s="1">
        <f>HYPERLINK("http://www.twitter.com/NathanBLawrence/status/994468751968911361", "994468751968911361")</f>
        <v/>
      </c>
      <c r="B1108" s="2" t="n">
        <v>43230.28241898148</v>
      </c>
      <c r="C1108" t="n">
        <v>0</v>
      </c>
      <c r="D1108" t="n">
        <v>0</v>
      </c>
      <c r="E1108" t="s">
        <v>1118</v>
      </c>
      <c r="F1108" t="s"/>
      <c r="G1108" t="s"/>
      <c r="H1108" t="s"/>
      <c r="I1108" t="s"/>
      <c r="J1108" t="n">
        <v>0.128</v>
      </c>
      <c r="K1108" t="n">
        <v>0.111</v>
      </c>
      <c r="L1108" t="n">
        <v>0.754</v>
      </c>
      <c r="M1108" t="n">
        <v>0.136</v>
      </c>
    </row>
    <row r="1109" spans="1:13">
      <c r="A1109" s="1">
        <f>HYPERLINK("http://www.twitter.com/NathanBLawrence/status/994468319691292673", "994468319691292673")</f>
        <v/>
      </c>
      <c r="B1109" s="2" t="n">
        <v>43230.28122685185</v>
      </c>
      <c r="C1109" t="n">
        <v>0</v>
      </c>
      <c r="D1109" t="n">
        <v>0</v>
      </c>
      <c r="E1109" t="s">
        <v>1119</v>
      </c>
      <c r="F1109" t="s"/>
      <c r="G1109" t="s"/>
      <c r="H1109" t="s"/>
      <c r="I1109" t="s"/>
      <c r="J1109" t="n">
        <v>0</v>
      </c>
      <c r="K1109" t="n">
        <v>0</v>
      </c>
      <c r="L1109" t="n">
        <v>1</v>
      </c>
      <c r="M1109" t="n">
        <v>0</v>
      </c>
    </row>
    <row r="1110" spans="1:13">
      <c r="A1110" s="1">
        <f>HYPERLINK("http://www.twitter.com/NathanBLawrence/status/994467652826316800", "994467652826316800")</f>
        <v/>
      </c>
      <c r="B1110" s="2" t="n">
        <v>43230.27938657408</v>
      </c>
      <c r="C1110" t="n">
        <v>0</v>
      </c>
      <c r="D1110" t="n">
        <v>289</v>
      </c>
      <c r="E1110" t="s">
        <v>1120</v>
      </c>
      <c r="F1110" t="s"/>
      <c r="G1110" t="s"/>
      <c r="H1110" t="s"/>
      <c r="I1110" t="s"/>
      <c r="J1110" t="n">
        <v>0.3612</v>
      </c>
      <c r="K1110" t="n">
        <v>0</v>
      </c>
      <c r="L1110" t="n">
        <v>0.898</v>
      </c>
      <c r="M1110" t="n">
        <v>0.102</v>
      </c>
    </row>
    <row r="1111" spans="1:13">
      <c r="A1111" s="1">
        <f>HYPERLINK("http://www.twitter.com/NathanBLawrence/status/994420049292148736", "994420049292148736")</f>
        <v/>
      </c>
      <c r="B1111" s="2" t="n">
        <v>43230.14802083333</v>
      </c>
      <c r="C1111" t="n">
        <v>0</v>
      </c>
      <c r="D1111" t="n">
        <v>14</v>
      </c>
      <c r="E1111" t="s">
        <v>1121</v>
      </c>
      <c r="F1111">
        <f>HYPERLINK("http://pbs.twimg.com/media/DcsRjvQW0AAIMzF.jpg", "http://pbs.twimg.com/media/DcsRjvQW0AAIMzF.jpg")</f>
        <v/>
      </c>
      <c r="G1111" t="s"/>
      <c r="H1111" t="s"/>
      <c r="I1111" t="s"/>
      <c r="J1111" t="n">
        <v>0</v>
      </c>
      <c r="K1111" t="n">
        <v>0</v>
      </c>
      <c r="L1111" t="n">
        <v>1</v>
      </c>
      <c r="M1111" t="n">
        <v>0</v>
      </c>
    </row>
    <row r="1112" spans="1:13">
      <c r="A1112" s="1">
        <f>HYPERLINK("http://www.twitter.com/NathanBLawrence/status/994416950594879488", "994416950594879488")</f>
        <v/>
      </c>
      <c r="B1112" s="2" t="n">
        <v>43230.13947916667</v>
      </c>
      <c r="C1112" t="n">
        <v>0</v>
      </c>
      <c r="D1112" t="n">
        <v>37</v>
      </c>
      <c r="E1112" t="s">
        <v>1122</v>
      </c>
      <c r="F1112" t="s"/>
      <c r="G1112" t="s"/>
      <c r="H1112" t="s"/>
      <c r="I1112" t="s"/>
      <c r="J1112" t="n">
        <v>0.0772</v>
      </c>
      <c r="K1112" t="n">
        <v>0</v>
      </c>
      <c r="L1112" t="n">
        <v>0.909</v>
      </c>
      <c r="M1112" t="n">
        <v>0.091</v>
      </c>
    </row>
    <row r="1113" spans="1:13">
      <c r="A1113" s="1">
        <f>HYPERLINK("http://www.twitter.com/NathanBLawrence/status/994416927014404096", "994416927014404096")</f>
        <v/>
      </c>
      <c r="B1113" s="2" t="n">
        <v>43230.13940972222</v>
      </c>
      <c r="C1113" t="n">
        <v>0</v>
      </c>
      <c r="D1113" t="n">
        <v>870</v>
      </c>
      <c r="E1113" t="s">
        <v>1123</v>
      </c>
      <c r="F1113" t="s"/>
      <c r="G1113" t="s"/>
      <c r="H1113" t="s"/>
      <c r="I1113" t="s"/>
      <c r="J1113" t="n">
        <v>-0.0173</v>
      </c>
      <c r="K1113" t="n">
        <v>0.114</v>
      </c>
      <c r="L1113" t="n">
        <v>0.774</v>
      </c>
      <c r="M1113" t="n">
        <v>0.112</v>
      </c>
    </row>
    <row r="1114" spans="1:13">
      <c r="A1114" s="1">
        <f>HYPERLINK("http://www.twitter.com/NathanBLawrence/status/994416097062342657", "994416097062342657")</f>
        <v/>
      </c>
      <c r="B1114" s="2" t="n">
        <v>43230.13711805556</v>
      </c>
      <c r="C1114" t="n">
        <v>0</v>
      </c>
      <c r="D1114" t="n">
        <v>1602</v>
      </c>
      <c r="E1114" t="s">
        <v>1124</v>
      </c>
      <c r="F1114">
        <f>HYPERLINK("http://pbs.twimg.com/media/DcwYfdLX0AAoyVg.jpg", "http://pbs.twimg.com/media/DcwYfdLX0AAoyVg.jpg")</f>
        <v/>
      </c>
      <c r="G1114" t="s"/>
      <c r="H1114" t="s"/>
      <c r="I1114" t="s"/>
      <c r="J1114" t="n">
        <v>0</v>
      </c>
      <c r="K1114" t="n">
        <v>0</v>
      </c>
      <c r="L1114" t="n">
        <v>1</v>
      </c>
      <c r="M1114" t="n">
        <v>0</v>
      </c>
    </row>
    <row r="1115" spans="1:13">
      <c r="A1115" s="1">
        <f>HYPERLINK("http://www.twitter.com/NathanBLawrence/status/994415805742764035", "994415805742764035")</f>
        <v/>
      </c>
      <c r="B1115" s="2" t="n">
        <v>43230.13631944444</v>
      </c>
      <c r="C1115" t="n">
        <v>0</v>
      </c>
      <c r="D1115" t="n">
        <v>89</v>
      </c>
      <c r="E1115" t="s">
        <v>1125</v>
      </c>
      <c r="F1115">
        <f>HYPERLINK("http://pbs.twimg.com/media/Dcv5sHkV4AAxLzu.jpg", "http://pbs.twimg.com/media/Dcv5sHkV4AAxLzu.jpg")</f>
        <v/>
      </c>
      <c r="G1115" t="s"/>
      <c r="H1115" t="s"/>
      <c r="I1115" t="s"/>
      <c r="J1115" t="n">
        <v>0</v>
      </c>
      <c r="K1115" t="n">
        <v>0</v>
      </c>
      <c r="L1115" t="n">
        <v>1</v>
      </c>
      <c r="M1115" t="n">
        <v>0</v>
      </c>
    </row>
    <row r="1116" spans="1:13">
      <c r="A1116" s="1">
        <f>HYPERLINK("http://www.twitter.com/NathanBLawrence/status/994414861827227648", "994414861827227648")</f>
        <v/>
      </c>
      <c r="B1116" s="2" t="n">
        <v>43230.13371527778</v>
      </c>
      <c r="C1116" t="n">
        <v>1</v>
      </c>
      <c r="D1116" t="n">
        <v>1</v>
      </c>
      <c r="E1116" t="s">
        <v>1126</v>
      </c>
      <c r="F1116" t="s"/>
      <c r="G1116" t="s"/>
      <c r="H1116" t="s"/>
      <c r="I1116" t="s"/>
      <c r="J1116" t="n">
        <v>-0.8074</v>
      </c>
      <c r="K1116" t="n">
        <v>0.477</v>
      </c>
      <c r="L1116" t="n">
        <v>0.523</v>
      </c>
      <c r="M1116" t="n">
        <v>0</v>
      </c>
    </row>
    <row r="1117" spans="1:13">
      <c r="A1117" s="1">
        <f>HYPERLINK("http://www.twitter.com/NathanBLawrence/status/994413440029491201", "994413440029491201")</f>
        <v/>
      </c>
      <c r="B1117" s="2" t="n">
        <v>43230.12979166667</v>
      </c>
      <c r="C1117" t="n">
        <v>0</v>
      </c>
      <c r="D1117" t="n">
        <v>708</v>
      </c>
      <c r="E1117" t="s">
        <v>1127</v>
      </c>
      <c r="F1117" t="s"/>
      <c r="G1117" t="s"/>
      <c r="H1117" t="s"/>
      <c r="I1117" t="s"/>
      <c r="J1117" t="n">
        <v>-0.6399</v>
      </c>
      <c r="K1117" t="n">
        <v>0.27</v>
      </c>
      <c r="L1117" t="n">
        <v>0.585</v>
      </c>
      <c r="M1117" t="n">
        <v>0.144</v>
      </c>
    </row>
    <row r="1118" spans="1:13">
      <c r="A1118" s="1">
        <f>HYPERLINK("http://www.twitter.com/NathanBLawrence/status/994413132318568448", "994413132318568448")</f>
        <v/>
      </c>
      <c r="B1118" s="2" t="n">
        <v>43230.12893518519</v>
      </c>
      <c r="C1118" t="n">
        <v>0</v>
      </c>
      <c r="D1118" t="n">
        <v>402</v>
      </c>
      <c r="E1118" t="s">
        <v>1128</v>
      </c>
      <c r="F1118">
        <f>HYPERLINK("http://pbs.twimg.com/media/DcwCaylVQAALpxP.jpg", "http://pbs.twimg.com/media/DcwCaylVQAALpxP.jpg")</f>
        <v/>
      </c>
      <c r="G1118" t="s"/>
      <c r="H1118" t="s"/>
      <c r="I1118" t="s"/>
      <c r="J1118" t="n">
        <v>0.9459</v>
      </c>
      <c r="K1118" t="n">
        <v>0</v>
      </c>
      <c r="L1118" t="n">
        <v>0.551</v>
      </c>
      <c r="M1118" t="n">
        <v>0.449</v>
      </c>
    </row>
    <row r="1119" spans="1:13">
      <c r="A1119" s="1">
        <f>HYPERLINK("http://www.twitter.com/NathanBLawrence/status/994365778915835904", "994365778915835904")</f>
        <v/>
      </c>
      <c r="B1119" s="2" t="n">
        <v>43229.99826388889</v>
      </c>
      <c r="C1119" t="n">
        <v>0</v>
      </c>
      <c r="D1119" t="n">
        <v>18413</v>
      </c>
      <c r="E1119" t="s">
        <v>1129</v>
      </c>
      <c r="F1119" t="s"/>
      <c r="G1119" t="s"/>
      <c r="H1119" t="s"/>
      <c r="I1119" t="s"/>
      <c r="J1119" t="n">
        <v>0.3818</v>
      </c>
      <c r="K1119" t="n">
        <v>0</v>
      </c>
      <c r="L1119" t="n">
        <v>0.822</v>
      </c>
      <c r="M1119" t="n">
        <v>0.178</v>
      </c>
    </row>
    <row r="1120" spans="1:13">
      <c r="A1120" s="1">
        <f>HYPERLINK("http://www.twitter.com/NathanBLawrence/status/994365760704147456", "994365760704147456")</f>
        <v/>
      </c>
      <c r="B1120" s="2" t="n">
        <v>43229.99821759259</v>
      </c>
      <c r="C1120" t="n">
        <v>0</v>
      </c>
      <c r="D1120" t="n">
        <v>26380</v>
      </c>
      <c r="E1120" t="s">
        <v>1130</v>
      </c>
      <c r="F1120" t="s"/>
      <c r="G1120" t="s"/>
      <c r="H1120" t="s"/>
      <c r="I1120" t="s"/>
      <c r="J1120" t="n">
        <v>-0.8331</v>
      </c>
      <c r="K1120" t="n">
        <v>0.306</v>
      </c>
      <c r="L1120" t="n">
        <v>0.694</v>
      </c>
      <c r="M1120" t="n">
        <v>0</v>
      </c>
    </row>
    <row r="1121" spans="1:13">
      <c r="A1121" s="1">
        <f>HYPERLINK("http://www.twitter.com/NathanBLawrence/status/994364085591408640", "994364085591408640")</f>
        <v/>
      </c>
      <c r="B1121" s="2" t="n">
        <v>43229.99359953704</v>
      </c>
      <c r="C1121" t="n">
        <v>0</v>
      </c>
      <c r="D1121" t="n">
        <v>2673</v>
      </c>
      <c r="E1121" t="s">
        <v>1131</v>
      </c>
      <c r="F1121">
        <f>HYPERLINK("https://video.twimg.com/amplify_video/965318727448322048/vid/1280x720/dnG0pNp8j5RzgeA3.mp4", "https://video.twimg.com/amplify_video/965318727448322048/vid/1280x720/dnG0pNp8j5RzgeA3.mp4")</f>
        <v/>
      </c>
      <c r="G1121" t="s"/>
      <c r="H1121" t="s"/>
      <c r="I1121" t="s"/>
      <c r="J1121" t="n">
        <v>0.3595</v>
      </c>
      <c r="K1121" t="n">
        <v>0</v>
      </c>
      <c r="L1121" t="n">
        <v>0.898</v>
      </c>
      <c r="M1121" t="n">
        <v>0.102</v>
      </c>
    </row>
    <row r="1122" spans="1:13">
      <c r="A1122" s="1">
        <f>HYPERLINK("http://www.twitter.com/NathanBLawrence/status/994361852577529857", "994361852577529857")</f>
        <v/>
      </c>
      <c r="B1122" s="2" t="n">
        <v>43229.98743055556</v>
      </c>
      <c r="C1122" t="n">
        <v>0</v>
      </c>
      <c r="D1122" t="n">
        <v>510</v>
      </c>
      <c r="E1122" t="s">
        <v>1132</v>
      </c>
      <c r="F1122" t="s"/>
      <c r="G1122" t="s"/>
      <c r="H1122" t="s"/>
      <c r="I1122" t="s"/>
      <c r="J1122" t="n">
        <v>0.8439</v>
      </c>
      <c r="K1122" t="n">
        <v>0</v>
      </c>
      <c r="L1122" t="n">
        <v>0.527</v>
      </c>
      <c r="M1122" t="n">
        <v>0.473</v>
      </c>
    </row>
    <row r="1123" spans="1:13">
      <c r="A1123" s="1">
        <f>HYPERLINK("http://www.twitter.com/NathanBLawrence/status/994357738380513281", "994357738380513281")</f>
        <v/>
      </c>
      <c r="B1123" s="2" t="n">
        <v>43229.97607638889</v>
      </c>
      <c r="C1123" t="n">
        <v>0</v>
      </c>
      <c r="D1123" t="n">
        <v>1222</v>
      </c>
      <c r="E1123" t="s">
        <v>1133</v>
      </c>
      <c r="F1123" t="s"/>
      <c r="G1123" t="s"/>
      <c r="H1123" t="s"/>
      <c r="I1123" t="s"/>
      <c r="J1123" t="n">
        <v>0.802</v>
      </c>
      <c r="K1123" t="n">
        <v>0</v>
      </c>
      <c r="L1123" t="n">
        <v>0.649</v>
      </c>
      <c r="M1123" t="n">
        <v>0.351</v>
      </c>
    </row>
    <row r="1124" spans="1:13">
      <c r="A1124" s="1">
        <f>HYPERLINK("http://www.twitter.com/NathanBLawrence/status/994357354006102016", "994357354006102016")</f>
        <v/>
      </c>
      <c r="B1124" s="2" t="n">
        <v>43229.97502314814</v>
      </c>
      <c r="C1124" t="n">
        <v>0</v>
      </c>
      <c r="D1124" t="n">
        <v>144</v>
      </c>
      <c r="E1124" t="s">
        <v>1134</v>
      </c>
      <c r="F1124">
        <f>HYPERLINK("http://pbs.twimg.com/media/DcjQkI4X4AEMZFC.jpg", "http://pbs.twimg.com/media/DcjQkI4X4AEMZFC.jpg")</f>
        <v/>
      </c>
      <c r="G1124">
        <f>HYPERLINK("http://pbs.twimg.com/media/DcjQkI4W4AEsk41.jpg", "http://pbs.twimg.com/media/DcjQkI4W4AEsk41.jpg")</f>
        <v/>
      </c>
      <c r="H1124" t="s"/>
      <c r="I1124" t="s"/>
      <c r="J1124" t="n">
        <v>-0.5563</v>
      </c>
      <c r="K1124" t="n">
        <v>0.146</v>
      </c>
      <c r="L1124" t="n">
        <v>0.854</v>
      </c>
      <c r="M1124" t="n">
        <v>0</v>
      </c>
    </row>
    <row r="1125" spans="1:13">
      <c r="A1125" s="1">
        <f>HYPERLINK("http://www.twitter.com/NathanBLawrence/status/994357096735956992", "994357096735956992")</f>
        <v/>
      </c>
      <c r="B1125" s="2" t="n">
        <v>43229.97430555556</v>
      </c>
      <c r="C1125" t="n">
        <v>0</v>
      </c>
      <c r="D1125" t="n">
        <v>222</v>
      </c>
      <c r="E1125" t="s">
        <v>1135</v>
      </c>
      <c r="F1125">
        <f>HYPERLINK("http://pbs.twimg.com/media/Dcwg1W7VQAkwMfN.jpg", "http://pbs.twimg.com/media/Dcwg1W7VQAkwMfN.jpg")</f>
        <v/>
      </c>
      <c r="G1125" t="s"/>
      <c r="H1125" t="s"/>
      <c r="I1125" t="s"/>
      <c r="J1125" t="n">
        <v>0.6037</v>
      </c>
      <c r="K1125" t="n">
        <v>0</v>
      </c>
      <c r="L1125" t="n">
        <v>0.67</v>
      </c>
      <c r="M1125" t="n">
        <v>0.33</v>
      </c>
    </row>
    <row r="1126" spans="1:13">
      <c r="A1126" s="1">
        <f>HYPERLINK("http://www.twitter.com/NathanBLawrence/status/994356942687514624", "994356942687514624")</f>
        <v/>
      </c>
      <c r="B1126" s="2" t="n">
        <v>43229.97388888889</v>
      </c>
      <c r="C1126" t="n">
        <v>0</v>
      </c>
      <c r="D1126" t="n">
        <v>302</v>
      </c>
      <c r="E1126" t="s">
        <v>1136</v>
      </c>
      <c r="F1126">
        <f>HYPERLINK("http://pbs.twimg.com/media/Dcw03oYW4AAPvvc.jpg", "http://pbs.twimg.com/media/Dcw03oYW4AAPvvc.jpg")</f>
        <v/>
      </c>
      <c r="G1126" t="s"/>
      <c r="H1126" t="s"/>
      <c r="I1126" t="s"/>
      <c r="J1126" t="n">
        <v>-0.0772</v>
      </c>
      <c r="K1126" t="n">
        <v>0.091</v>
      </c>
      <c r="L1126" t="n">
        <v>0.83</v>
      </c>
      <c r="M1126" t="n">
        <v>0.079</v>
      </c>
    </row>
    <row r="1127" spans="1:13">
      <c r="A1127" s="1">
        <f>HYPERLINK("http://www.twitter.com/NathanBLawrence/status/994331907344207872", "994331907344207872")</f>
        <v/>
      </c>
      <c r="B1127" s="2" t="n">
        <v>43229.90480324074</v>
      </c>
      <c r="C1127" t="n">
        <v>0</v>
      </c>
      <c r="D1127" t="n">
        <v>306</v>
      </c>
      <c r="E1127" t="s">
        <v>1137</v>
      </c>
      <c r="F1127" t="s"/>
      <c r="G1127" t="s"/>
      <c r="H1127" t="s"/>
      <c r="I1127" t="s"/>
      <c r="J1127" t="n">
        <v>0.8401999999999999</v>
      </c>
      <c r="K1127" t="n">
        <v>0</v>
      </c>
      <c r="L1127" t="n">
        <v>0.719</v>
      </c>
      <c r="M1127" t="n">
        <v>0.281</v>
      </c>
    </row>
    <row r="1128" spans="1:13">
      <c r="A1128" s="1">
        <f>HYPERLINK("http://www.twitter.com/NathanBLawrence/status/994331775534059520", "994331775534059520")</f>
        <v/>
      </c>
      <c r="B1128" s="2" t="n">
        <v>43229.90443287037</v>
      </c>
      <c r="C1128" t="n">
        <v>0</v>
      </c>
      <c r="D1128" t="n">
        <v>0</v>
      </c>
      <c r="E1128" t="s">
        <v>1138</v>
      </c>
      <c r="F1128" t="s"/>
      <c r="G1128" t="s"/>
      <c r="H1128" t="s"/>
      <c r="I1128" t="s"/>
      <c r="J1128" t="n">
        <v>0</v>
      </c>
      <c r="K1128" t="n">
        <v>0</v>
      </c>
      <c r="L1128" t="n">
        <v>1</v>
      </c>
      <c r="M1128" t="n">
        <v>0</v>
      </c>
    </row>
    <row r="1129" spans="1:13">
      <c r="A1129" s="1">
        <f>HYPERLINK("http://www.twitter.com/NathanBLawrence/status/994330761368100865", "994330761368100865")</f>
        <v/>
      </c>
      <c r="B1129" s="2" t="n">
        <v>43229.90163194444</v>
      </c>
      <c r="C1129" t="n">
        <v>0</v>
      </c>
      <c r="D1129" t="n">
        <v>4</v>
      </c>
      <c r="E1129" t="s">
        <v>1139</v>
      </c>
      <c r="F1129" t="s"/>
      <c r="G1129" t="s"/>
      <c r="H1129" t="s"/>
      <c r="I1129" t="s"/>
      <c r="J1129" t="n">
        <v>0.6486</v>
      </c>
      <c r="K1129" t="n">
        <v>0.082</v>
      </c>
      <c r="L1129" t="n">
        <v>0.6870000000000001</v>
      </c>
      <c r="M1129" t="n">
        <v>0.23</v>
      </c>
    </row>
    <row r="1130" spans="1:13">
      <c r="A1130" s="1">
        <f>HYPERLINK("http://www.twitter.com/NathanBLawrence/status/994317597947711489", "994317597947711489")</f>
        <v/>
      </c>
      <c r="B1130" s="2" t="n">
        <v>43229.8653125</v>
      </c>
      <c r="C1130" t="n">
        <v>0</v>
      </c>
      <c r="D1130" t="n">
        <v>47</v>
      </c>
      <c r="E1130" t="s">
        <v>1140</v>
      </c>
      <c r="F1130" t="s"/>
      <c r="G1130" t="s"/>
      <c r="H1130" t="s"/>
      <c r="I1130" t="s"/>
      <c r="J1130" t="n">
        <v>0</v>
      </c>
      <c r="K1130" t="n">
        <v>0</v>
      </c>
      <c r="L1130" t="n">
        <v>1</v>
      </c>
      <c r="M1130" t="n">
        <v>0</v>
      </c>
    </row>
    <row r="1131" spans="1:13">
      <c r="A1131" s="1">
        <f>HYPERLINK("http://www.twitter.com/NathanBLawrence/status/994317351326834689", "994317351326834689")</f>
        <v/>
      </c>
      <c r="B1131" s="2" t="n">
        <v>43229.86462962963</v>
      </c>
      <c r="C1131" t="n">
        <v>0</v>
      </c>
      <c r="D1131" t="n">
        <v>0</v>
      </c>
      <c r="E1131" t="s">
        <v>1141</v>
      </c>
      <c r="F1131" t="s"/>
      <c r="G1131" t="s"/>
      <c r="H1131" t="s"/>
      <c r="I1131" t="s"/>
      <c r="J1131" t="n">
        <v>0</v>
      </c>
      <c r="K1131" t="n">
        <v>0</v>
      </c>
      <c r="L1131" t="n">
        <v>1</v>
      </c>
      <c r="M1131" t="n">
        <v>0</v>
      </c>
    </row>
    <row r="1132" spans="1:13">
      <c r="A1132" s="1">
        <f>HYPERLINK("http://www.twitter.com/NathanBLawrence/status/994316841995722756", "994316841995722756")</f>
        <v/>
      </c>
      <c r="B1132" s="2" t="n">
        <v>43229.86322916667</v>
      </c>
      <c r="C1132" t="n">
        <v>0</v>
      </c>
      <c r="D1132" t="n">
        <v>0</v>
      </c>
      <c r="E1132" t="s">
        <v>1142</v>
      </c>
      <c r="F1132" t="s"/>
      <c r="G1132" t="s"/>
      <c r="H1132" t="s"/>
      <c r="I1132" t="s"/>
      <c r="J1132" t="n">
        <v>0</v>
      </c>
      <c r="K1132" t="n">
        <v>0</v>
      </c>
      <c r="L1132" t="n">
        <v>1</v>
      </c>
      <c r="M1132" t="n">
        <v>0</v>
      </c>
    </row>
    <row r="1133" spans="1:13">
      <c r="A1133" s="1">
        <f>HYPERLINK("http://www.twitter.com/NathanBLawrence/status/994316337311895553", "994316337311895553")</f>
        <v/>
      </c>
      <c r="B1133" s="2" t="n">
        <v>43229.8618287037</v>
      </c>
      <c r="C1133" t="n">
        <v>0</v>
      </c>
      <c r="D1133" t="n">
        <v>3372</v>
      </c>
      <c r="E1133" t="s">
        <v>1143</v>
      </c>
      <c r="F1133" t="s"/>
      <c r="G1133" t="s"/>
      <c r="H1133" t="s"/>
      <c r="I1133" t="s"/>
      <c r="J1133" t="n">
        <v>-0.5423</v>
      </c>
      <c r="K1133" t="n">
        <v>0.179</v>
      </c>
      <c r="L1133" t="n">
        <v>0.821</v>
      </c>
      <c r="M1133" t="n">
        <v>0</v>
      </c>
    </row>
    <row r="1134" spans="1:13">
      <c r="A1134" s="1">
        <f>HYPERLINK("http://www.twitter.com/NathanBLawrence/status/994243650899951616", "994243650899951616")</f>
        <v/>
      </c>
      <c r="B1134" s="2" t="n">
        <v>43229.66126157407</v>
      </c>
      <c r="C1134" t="n">
        <v>0</v>
      </c>
      <c r="D1134" t="n">
        <v>0</v>
      </c>
      <c r="E1134" t="s">
        <v>1144</v>
      </c>
      <c r="F1134" t="s"/>
      <c r="G1134" t="s"/>
      <c r="H1134" t="s"/>
      <c r="I1134" t="s"/>
      <c r="J1134" t="n">
        <v>-0.7351</v>
      </c>
      <c r="K1134" t="n">
        <v>0.304</v>
      </c>
      <c r="L1134" t="n">
        <v>0.613</v>
      </c>
      <c r="M1134" t="n">
        <v>0.083</v>
      </c>
    </row>
    <row r="1135" spans="1:13">
      <c r="A1135" s="1">
        <f>HYPERLINK("http://www.twitter.com/NathanBLawrence/status/994239626427564032", "994239626427564032")</f>
        <v/>
      </c>
      <c r="B1135" s="2" t="n">
        <v>43229.65015046296</v>
      </c>
      <c r="C1135" t="n">
        <v>1</v>
      </c>
      <c r="D1135" t="n">
        <v>0</v>
      </c>
      <c r="E1135" t="s">
        <v>1145</v>
      </c>
      <c r="F1135" t="s"/>
      <c r="G1135" t="s"/>
      <c r="H1135" t="s"/>
      <c r="I1135" t="s"/>
      <c r="J1135" t="n">
        <v>0.5256</v>
      </c>
      <c r="K1135" t="n">
        <v>0</v>
      </c>
      <c r="L1135" t="n">
        <v>0.674</v>
      </c>
      <c r="M1135" t="n">
        <v>0.326</v>
      </c>
    </row>
    <row r="1136" spans="1:13">
      <c r="A1136" s="1">
        <f>HYPERLINK("http://www.twitter.com/NathanBLawrence/status/994238754175963139", "994238754175963139")</f>
        <v/>
      </c>
      <c r="B1136" s="2" t="n">
        <v>43229.64774305555</v>
      </c>
      <c r="C1136" t="n">
        <v>0</v>
      </c>
      <c r="D1136" t="n">
        <v>0</v>
      </c>
      <c r="E1136" t="s">
        <v>1146</v>
      </c>
      <c r="F1136" t="s"/>
      <c r="G1136" t="s"/>
      <c r="H1136" t="s"/>
      <c r="I1136" t="s"/>
      <c r="J1136" t="n">
        <v>0.4574</v>
      </c>
      <c r="K1136" t="n">
        <v>0.075</v>
      </c>
      <c r="L1136" t="n">
        <v>0.783</v>
      </c>
      <c r="M1136" t="n">
        <v>0.143</v>
      </c>
    </row>
    <row r="1137" spans="1:13">
      <c r="A1137" s="1">
        <f>HYPERLINK("http://www.twitter.com/NathanBLawrence/status/994237715095871488", "994237715095871488")</f>
        <v/>
      </c>
      <c r="B1137" s="2" t="n">
        <v>43229.64487268519</v>
      </c>
      <c r="C1137" t="n">
        <v>0</v>
      </c>
      <c r="D1137" t="n">
        <v>13654</v>
      </c>
      <c r="E1137" t="s">
        <v>1147</v>
      </c>
      <c r="F1137" t="s"/>
      <c r="G1137" t="s"/>
      <c r="H1137" t="s"/>
      <c r="I1137" t="s"/>
      <c r="J1137" t="n">
        <v>0.9509</v>
      </c>
      <c r="K1137" t="n">
        <v>0</v>
      </c>
      <c r="L1137" t="n">
        <v>0.5570000000000001</v>
      </c>
      <c r="M1137" t="n">
        <v>0.443</v>
      </c>
    </row>
    <row r="1138" spans="1:13">
      <c r="A1138" s="1">
        <f>HYPERLINK("http://www.twitter.com/NathanBLawrence/status/994237607423852544", "994237607423852544")</f>
        <v/>
      </c>
      <c r="B1138" s="2" t="n">
        <v>43229.64458333333</v>
      </c>
      <c r="C1138" t="n">
        <v>0</v>
      </c>
      <c r="D1138" t="n">
        <v>33569</v>
      </c>
      <c r="E1138" t="s">
        <v>1148</v>
      </c>
      <c r="F1138" t="s"/>
      <c r="G1138" t="s"/>
      <c r="H1138" t="s"/>
      <c r="I1138" t="s"/>
      <c r="J1138" t="n">
        <v>0</v>
      </c>
      <c r="K1138" t="n">
        <v>0</v>
      </c>
      <c r="L1138" t="n">
        <v>1</v>
      </c>
      <c r="M1138" t="n">
        <v>0</v>
      </c>
    </row>
    <row r="1139" spans="1:13">
      <c r="A1139" s="1">
        <f>HYPERLINK("http://www.twitter.com/NathanBLawrence/status/994237396181962753", "994237396181962753")</f>
        <v/>
      </c>
      <c r="B1139" s="2" t="n">
        <v>43229.64399305556</v>
      </c>
      <c r="C1139" t="n">
        <v>2</v>
      </c>
      <c r="D1139" t="n">
        <v>0</v>
      </c>
      <c r="E1139" t="s">
        <v>1149</v>
      </c>
      <c r="F1139" t="s"/>
      <c r="G1139" t="s"/>
      <c r="H1139" t="s"/>
      <c r="I1139" t="s"/>
      <c r="J1139" t="n">
        <v>-0.9352</v>
      </c>
      <c r="K1139" t="n">
        <v>0.402</v>
      </c>
      <c r="L1139" t="n">
        <v>0.53</v>
      </c>
      <c r="M1139" t="n">
        <v>0.068</v>
      </c>
    </row>
    <row r="1140" spans="1:13">
      <c r="A1140" s="1">
        <f>HYPERLINK("http://www.twitter.com/NathanBLawrence/status/994234974860541952", "994234974860541952")</f>
        <v/>
      </c>
      <c r="B1140" s="2" t="n">
        <v>43229.63731481481</v>
      </c>
      <c r="C1140" t="n">
        <v>0</v>
      </c>
      <c r="D1140" t="n">
        <v>19225</v>
      </c>
      <c r="E1140" t="s">
        <v>1150</v>
      </c>
      <c r="F1140" t="s"/>
      <c r="G1140" t="s"/>
      <c r="H1140" t="s"/>
      <c r="I1140" t="s"/>
      <c r="J1140" t="n">
        <v>0.9022</v>
      </c>
      <c r="K1140" t="n">
        <v>0</v>
      </c>
      <c r="L1140" t="n">
        <v>0.569</v>
      </c>
      <c r="M1140" t="n">
        <v>0.431</v>
      </c>
    </row>
    <row r="1141" spans="1:13">
      <c r="A1141" s="1">
        <f>HYPERLINK("http://www.twitter.com/NathanBLawrence/status/994234735340568577", "994234735340568577")</f>
        <v/>
      </c>
      <c r="B1141" s="2" t="n">
        <v>43229.6366550926</v>
      </c>
      <c r="C1141" t="n">
        <v>0</v>
      </c>
      <c r="D1141" t="n">
        <v>632</v>
      </c>
      <c r="E1141" t="s">
        <v>1151</v>
      </c>
      <c r="F1141">
        <f>HYPERLINK("https://video.twimg.com/ext_tw_video/994163553753096192/pu/vid/240x176/GwoP_WNf0ufNoL7P.mp4?tag=3", "https://video.twimg.com/ext_tw_video/994163553753096192/pu/vid/240x176/GwoP_WNf0ufNoL7P.mp4?tag=3")</f>
        <v/>
      </c>
      <c r="G1141" t="s"/>
      <c r="H1141" t="s"/>
      <c r="I1141" t="s"/>
      <c r="J1141" t="n">
        <v>0</v>
      </c>
      <c r="K1141" t="n">
        <v>0</v>
      </c>
      <c r="L1141" t="n">
        <v>1</v>
      </c>
      <c r="M1141" t="n">
        <v>0</v>
      </c>
    </row>
    <row r="1142" spans="1:13">
      <c r="A1142" s="1">
        <f>HYPERLINK("http://www.twitter.com/NathanBLawrence/status/994234103661608960", "994234103661608960")</f>
        <v/>
      </c>
      <c r="B1142" s="2" t="n">
        <v>43229.63490740741</v>
      </c>
      <c r="C1142" t="n">
        <v>0</v>
      </c>
      <c r="D1142" t="n">
        <v>396</v>
      </c>
      <c r="E1142" t="s">
        <v>1152</v>
      </c>
      <c r="F1142" t="s"/>
      <c r="G1142" t="s"/>
      <c r="H1142" t="s"/>
      <c r="I1142" t="s"/>
      <c r="J1142" t="n">
        <v>0</v>
      </c>
      <c r="K1142" t="n">
        <v>0</v>
      </c>
      <c r="L1142" t="n">
        <v>1</v>
      </c>
      <c r="M1142" t="n">
        <v>0</v>
      </c>
    </row>
    <row r="1143" spans="1:13">
      <c r="A1143" s="1">
        <f>HYPERLINK("http://www.twitter.com/NathanBLawrence/status/994233954524848129", "994233954524848129")</f>
        <v/>
      </c>
      <c r="B1143" s="2" t="n">
        <v>43229.63450231482</v>
      </c>
      <c r="C1143" t="n">
        <v>0</v>
      </c>
      <c r="D1143" t="n">
        <v>815</v>
      </c>
      <c r="E1143" t="s">
        <v>1153</v>
      </c>
      <c r="F1143" t="s"/>
      <c r="G1143" t="s"/>
      <c r="H1143" t="s"/>
      <c r="I1143" t="s"/>
      <c r="J1143" t="n">
        <v>-0.8472</v>
      </c>
      <c r="K1143" t="n">
        <v>0.339</v>
      </c>
      <c r="L1143" t="n">
        <v>0.592</v>
      </c>
      <c r="M1143" t="n">
        <v>0.07000000000000001</v>
      </c>
    </row>
    <row r="1144" spans="1:13">
      <c r="A1144" s="1">
        <f>HYPERLINK("http://www.twitter.com/NathanBLawrence/status/994233822332928003", "994233822332928003")</f>
        <v/>
      </c>
      <c r="B1144" s="2" t="n">
        <v>43229.63413194445</v>
      </c>
      <c r="C1144" t="n">
        <v>0</v>
      </c>
      <c r="D1144" t="n">
        <v>7</v>
      </c>
      <c r="E1144" t="s">
        <v>1154</v>
      </c>
      <c r="F1144" t="s"/>
      <c r="G1144" t="s"/>
      <c r="H1144" t="s"/>
      <c r="I1144" t="s"/>
      <c r="J1144" t="n">
        <v>0.4404</v>
      </c>
      <c r="K1144" t="n">
        <v>0</v>
      </c>
      <c r="L1144" t="n">
        <v>0.888</v>
      </c>
      <c r="M1144" t="n">
        <v>0.112</v>
      </c>
    </row>
    <row r="1145" spans="1:13">
      <c r="A1145" s="1">
        <f>HYPERLINK("http://www.twitter.com/NathanBLawrence/status/994233719106949125", "994233719106949125")</f>
        <v/>
      </c>
      <c r="B1145" s="2" t="n">
        <v>43229.63385416667</v>
      </c>
      <c r="C1145" t="n">
        <v>0</v>
      </c>
      <c r="D1145" t="n">
        <v>300</v>
      </c>
      <c r="E1145" t="s">
        <v>1155</v>
      </c>
      <c r="F1145">
        <f>HYPERLINK("https://video.twimg.com/amplify_video/994219109276626944/vid/1280x720/wqWp_btci7KZBq8g.mp4?tag=2", "https://video.twimg.com/amplify_video/994219109276626944/vid/1280x720/wqWp_btci7KZBq8g.mp4?tag=2")</f>
        <v/>
      </c>
      <c r="G1145" t="s"/>
      <c r="H1145" t="s"/>
      <c r="I1145" t="s"/>
      <c r="J1145" t="n">
        <v>0</v>
      </c>
      <c r="K1145" t="n">
        <v>0</v>
      </c>
      <c r="L1145" t="n">
        <v>1</v>
      </c>
      <c r="M1145" t="n">
        <v>0</v>
      </c>
    </row>
    <row r="1146" spans="1:13">
      <c r="A1146" s="1">
        <f>HYPERLINK("http://www.twitter.com/NathanBLawrence/status/994098079115563008", "994098079115563008")</f>
        <v/>
      </c>
      <c r="B1146" s="2" t="n">
        <v>43229.25956018519</v>
      </c>
      <c r="C1146" t="n">
        <v>4</v>
      </c>
      <c r="D1146" t="n">
        <v>0</v>
      </c>
      <c r="E1146" t="s">
        <v>1156</v>
      </c>
      <c r="F1146" t="s"/>
      <c r="G1146" t="s"/>
      <c r="H1146" t="s"/>
      <c r="I1146" t="s"/>
      <c r="J1146" t="n">
        <v>0.3182</v>
      </c>
      <c r="K1146" t="n">
        <v>0</v>
      </c>
      <c r="L1146" t="n">
        <v>0.9409999999999999</v>
      </c>
      <c r="M1146" t="n">
        <v>0.059</v>
      </c>
    </row>
    <row r="1147" spans="1:13">
      <c r="A1147" s="1">
        <f>HYPERLINK("http://www.twitter.com/NathanBLawrence/status/994097343661256704", "994097343661256704")</f>
        <v/>
      </c>
      <c r="B1147" s="2" t="n">
        <v>43229.25752314815</v>
      </c>
      <c r="C1147" t="n">
        <v>12</v>
      </c>
      <c r="D1147" t="n">
        <v>6</v>
      </c>
      <c r="E1147" t="s">
        <v>1157</v>
      </c>
      <c r="F1147" t="s"/>
      <c r="G1147" t="s"/>
      <c r="H1147" t="s"/>
      <c r="I1147" t="s"/>
      <c r="J1147" t="n">
        <v>-0.2732</v>
      </c>
      <c r="K1147" t="n">
        <v>0.046</v>
      </c>
      <c r="L1147" t="n">
        <v>0.954</v>
      </c>
      <c r="M1147" t="n">
        <v>0</v>
      </c>
    </row>
    <row r="1148" spans="1:13">
      <c r="A1148" s="1">
        <f>HYPERLINK("http://www.twitter.com/NathanBLawrence/status/994095265048129537", "994095265048129537")</f>
        <v/>
      </c>
      <c r="B1148" s="2" t="n">
        <v>43229.25179398148</v>
      </c>
      <c r="C1148" t="n">
        <v>0</v>
      </c>
      <c r="D1148" t="n">
        <v>2</v>
      </c>
      <c r="E1148" t="s">
        <v>1158</v>
      </c>
      <c r="F1148" t="s"/>
      <c r="G1148" t="s"/>
      <c r="H1148" t="s"/>
      <c r="I1148" t="s"/>
      <c r="J1148" t="n">
        <v>0</v>
      </c>
      <c r="K1148" t="n">
        <v>0</v>
      </c>
      <c r="L1148" t="n">
        <v>1</v>
      </c>
      <c r="M1148" t="n">
        <v>0</v>
      </c>
    </row>
    <row r="1149" spans="1:13">
      <c r="A1149" s="1">
        <f>HYPERLINK("http://www.twitter.com/NathanBLawrence/status/994094600150224896", "994094600150224896")</f>
        <v/>
      </c>
      <c r="B1149" s="2" t="n">
        <v>43229.2499537037</v>
      </c>
      <c r="C1149" t="n">
        <v>0</v>
      </c>
      <c r="D1149" t="n">
        <v>8</v>
      </c>
      <c r="E1149" t="s">
        <v>1159</v>
      </c>
      <c r="F1149" t="s"/>
      <c r="G1149" t="s"/>
      <c r="H1149" t="s"/>
      <c r="I1149" t="s"/>
      <c r="J1149" t="n">
        <v>-0.296</v>
      </c>
      <c r="K1149" t="n">
        <v>0.095</v>
      </c>
      <c r="L1149" t="n">
        <v>0.905</v>
      </c>
      <c r="M1149" t="n">
        <v>0</v>
      </c>
    </row>
    <row r="1150" spans="1:13">
      <c r="A1150" s="1">
        <f>HYPERLINK("http://www.twitter.com/NathanBLawrence/status/994094557494218752", "994094557494218752")</f>
        <v/>
      </c>
      <c r="B1150" s="2" t="n">
        <v>43229.24983796296</v>
      </c>
      <c r="C1150" t="n">
        <v>0</v>
      </c>
      <c r="D1150" t="n">
        <v>3</v>
      </c>
      <c r="E1150" t="s">
        <v>1160</v>
      </c>
      <c r="F1150" t="s"/>
      <c r="G1150" t="s"/>
      <c r="H1150" t="s"/>
      <c r="I1150" t="s"/>
      <c r="J1150" t="n">
        <v>0</v>
      </c>
      <c r="K1150" t="n">
        <v>0</v>
      </c>
      <c r="L1150" t="n">
        <v>1</v>
      </c>
      <c r="M1150" t="n">
        <v>0</v>
      </c>
    </row>
    <row r="1151" spans="1:13">
      <c r="A1151" s="1">
        <f>HYPERLINK("http://www.twitter.com/NathanBLawrence/status/994094354494099456", "994094354494099456")</f>
        <v/>
      </c>
      <c r="B1151" s="2" t="n">
        <v>43229.24928240741</v>
      </c>
      <c r="C1151" t="n">
        <v>0</v>
      </c>
      <c r="D1151" t="n">
        <v>9</v>
      </c>
      <c r="E1151" t="s">
        <v>1161</v>
      </c>
      <c r="F1151" t="s"/>
      <c r="G1151" t="s"/>
      <c r="H1151" t="s"/>
      <c r="I1151" t="s"/>
      <c r="J1151" t="n">
        <v>-0.5574</v>
      </c>
      <c r="K1151" t="n">
        <v>0.146</v>
      </c>
      <c r="L1151" t="n">
        <v>0.854</v>
      </c>
      <c r="M1151" t="n">
        <v>0</v>
      </c>
    </row>
    <row r="1152" spans="1:13">
      <c r="A1152" s="1">
        <f>HYPERLINK("http://www.twitter.com/NathanBLawrence/status/994091958007103488", "994091958007103488")</f>
        <v/>
      </c>
      <c r="B1152" s="2" t="n">
        <v>43229.24266203704</v>
      </c>
      <c r="C1152" t="n">
        <v>0</v>
      </c>
      <c r="D1152" t="n">
        <v>0</v>
      </c>
      <c r="E1152" t="s">
        <v>1162</v>
      </c>
      <c r="F1152" t="s"/>
      <c r="G1152" t="s"/>
      <c r="H1152" t="s"/>
      <c r="I1152" t="s"/>
      <c r="J1152" t="n">
        <v>0.0516</v>
      </c>
      <c r="K1152" t="n">
        <v>0.246</v>
      </c>
      <c r="L1152" t="n">
        <v>0.493</v>
      </c>
      <c r="M1152" t="n">
        <v>0.261</v>
      </c>
    </row>
    <row r="1153" spans="1:13">
      <c r="A1153" s="1">
        <f>HYPERLINK("http://www.twitter.com/NathanBLawrence/status/994089307760726018", "994089307760726018")</f>
        <v/>
      </c>
      <c r="B1153" s="2" t="n">
        <v>43229.23534722222</v>
      </c>
      <c r="C1153" t="n">
        <v>0</v>
      </c>
      <c r="D1153" t="n">
        <v>0</v>
      </c>
      <c r="E1153" t="s">
        <v>1163</v>
      </c>
      <c r="F1153" t="s"/>
      <c r="G1153" t="s"/>
      <c r="H1153" t="s"/>
      <c r="I1153" t="s"/>
      <c r="J1153" t="n">
        <v>0.25</v>
      </c>
      <c r="K1153" t="n">
        <v>0</v>
      </c>
      <c r="L1153" t="n">
        <v>0.75</v>
      </c>
      <c r="M1153" t="n">
        <v>0.25</v>
      </c>
    </row>
    <row r="1154" spans="1:13">
      <c r="A1154" s="1">
        <f>HYPERLINK("http://www.twitter.com/NathanBLawrence/status/994088381033385984", "994088381033385984")</f>
        <v/>
      </c>
      <c r="B1154" s="2" t="n">
        <v>43229.23278935185</v>
      </c>
      <c r="C1154" t="n">
        <v>1</v>
      </c>
      <c r="D1154" t="n">
        <v>0</v>
      </c>
      <c r="E1154" t="s">
        <v>1164</v>
      </c>
      <c r="F1154" t="s"/>
      <c r="G1154" t="s"/>
      <c r="H1154" t="s"/>
      <c r="I1154" t="s"/>
      <c r="J1154" t="n">
        <v>-0.6249</v>
      </c>
      <c r="K1154" t="n">
        <v>0.221</v>
      </c>
      <c r="L1154" t="n">
        <v>0.779</v>
      </c>
      <c r="M1154" t="n">
        <v>0</v>
      </c>
    </row>
    <row r="1155" spans="1:13">
      <c r="A1155" s="1">
        <f>HYPERLINK("http://www.twitter.com/NathanBLawrence/status/994088004732977153", "994088004732977153")</f>
        <v/>
      </c>
      <c r="B1155" s="2" t="n">
        <v>43229.23175925926</v>
      </c>
      <c r="C1155" t="n">
        <v>1</v>
      </c>
      <c r="D1155" t="n">
        <v>0</v>
      </c>
      <c r="E1155" t="s">
        <v>1165</v>
      </c>
      <c r="F1155">
        <f>HYPERLINK("http://pbs.twimg.com/media/Dcu1j5YX4AAgv1P.jpg", "http://pbs.twimg.com/media/Dcu1j5YX4AAgv1P.jpg")</f>
        <v/>
      </c>
      <c r="G1155" t="s"/>
      <c r="H1155" t="s"/>
      <c r="I1155" t="s"/>
      <c r="J1155" t="n">
        <v>-0.6486</v>
      </c>
      <c r="K1155" t="n">
        <v>0.249</v>
      </c>
      <c r="L1155" t="n">
        <v>0.659</v>
      </c>
      <c r="M1155" t="n">
        <v>0.092</v>
      </c>
    </row>
    <row r="1156" spans="1:13">
      <c r="A1156" s="1">
        <f>HYPERLINK("http://www.twitter.com/NathanBLawrence/status/994085910844145664", "994085910844145664")</f>
        <v/>
      </c>
      <c r="B1156" s="2" t="n">
        <v>43229.2259837963</v>
      </c>
      <c r="C1156" t="n">
        <v>1</v>
      </c>
      <c r="D1156" t="n">
        <v>0</v>
      </c>
      <c r="E1156" t="s">
        <v>1166</v>
      </c>
      <c r="F1156" t="s"/>
      <c r="G1156" t="s"/>
      <c r="H1156" t="s"/>
      <c r="I1156" t="s"/>
      <c r="J1156" t="n">
        <v>0</v>
      </c>
      <c r="K1156" t="n">
        <v>0</v>
      </c>
      <c r="L1156" t="n">
        <v>1</v>
      </c>
      <c r="M1156" t="n">
        <v>0</v>
      </c>
    </row>
    <row r="1157" spans="1:13">
      <c r="A1157" s="1">
        <f>HYPERLINK("http://www.twitter.com/NathanBLawrence/status/994084689991360518", "994084689991360518")</f>
        <v/>
      </c>
      <c r="B1157" s="2" t="n">
        <v>43229.22260416667</v>
      </c>
      <c r="C1157" t="n">
        <v>0</v>
      </c>
      <c r="D1157" t="n">
        <v>1211</v>
      </c>
      <c r="E1157" t="s">
        <v>1167</v>
      </c>
      <c r="F1157" t="s"/>
      <c r="G1157" t="s"/>
      <c r="H1157" t="s"/>
      <c r="I1157" t="s"/>
      <c r="J1157" t="n">
        <v>-0.296</v>
      </c>
      <c r="K1157" t="n">
        <v>0.091</v>
      </c>
      <c r="L1157" t="n">
        <v>0.909</v>
      </c>
      <c r="M1157" t="n">
        <v>0</v>
      </c>
    </row>
    <row r="1158" spans="1:13">
      <c r="A1158" s="1">
        <f>HYPERLINK("http://www.twitter.com/NathanBLawrence/status/994084630881079296", "994084630881079296")</f>
        <v/>
      </c>
      <c r="B1158" s="2" t="n">
        <v>43229.22244212963</v>
      </c>
      <c r="C1158" t="n">
        <v>0</v>
      </c>
      <c r="D1158" t="n">
        <v>1979</v>
      </c>
      <c r="E1158" t="s">
        <v>1168</v>
      </c>
      <c r="F1158" t="s"/>
      <c r="G1158" t="s"/>
      <c r="H1158" t="s"/>
      <c r="I1158" t="s"/>
      <c r="J1158" t="n">
        <v>-0.7579</v>
      </c>
      <c r="K1158" t="n">
        <v>0.213</v>
      </c>
      <c r="L1158" t="n">
        <v>0.787</v>
      </c>
      <c r="M1158" t="n">
        <v>0</v>
      </c>
    </row>
    <row r="1159" spans="1:13">
      <c r="A1159" s="1">
        <f>HYPERLINK("http://www.twitter.com/NathanBLawrence/status/994084530125508608", "994084530125508608")</f>
        <v/>
      </c>
      <c r="B1159" s="2" t="n">
        <v>43229.22216435185</v>
      </c>
      <c r="C1159" t="n">
        <v>0</v>
      </c>
      <c r="D1159" t="n">
        <v>511</v>
      </c>
      <c r="E1159" t="s">
        <v>1169</v>
      </c>
      <c r="F1159" t="s"/>
      <c r="G1159" t="s"/>
      <c r="H1159" t="s"/>
      <c r="I1159" t="s"/>
      <c r="J1159" t="n">
        <v>0.6369</v>
      </c>
      <c r="K1159" t="n">
        <v>0</v>
      </c>
      <c r="L1159" t="n">
        <v>0.724</v>
      </c>
      <c r="M1159" t="n">
        <v>0.276</v>
      </c>
    </row>
    <row r="1160" spans="1:13">
      <c r="A1160" s="1">
        <f>HYPERLINK("http://www.twitter.com/NathanBLawrence/status/994084491001057280", "994084491001057280")</f>
        <v/>
      </c>
      <c r="B1160" s="2" t="n">
        <v>43229.22206018519</v>
      </c>
      <c r="C1160" t="n">
        <v>0</v>
      </c>
      <c r="D1160" t="n">
        <v>1324</v>
      </c>
      <c r="E1160" t="s">
        <v>1170</v>
      </c>
      <c r="F1160" t="s"/>
      <c r="G1160" t="s"/>
      <c r="H1160" t="s"/>
      <c r="I1160" t="s"/>
      <c r="J1160" t="n">
        <v>0.4215</v>
      </c>
      <c r="K1160" t="n">
        <v>0</v>
      </c>
      <c r="L1160" t="n">
        <v>0.872</v>
      </c>
      <c r="M1160" t="n">
        <v>0.128</v>
      </c>
    </row>
    <row r="1161" spans="1:13">
      <c r="A1161" s="1">
        <f>HYPERLINK("http://www.twitter.com/NathanBLawrence/status/994084408482320385", "994084408482320385")</f>
        <v/>
      </c>
      <c r="B1161" s="2" t="n">
        <v>43229.2218287037</v>
      </c>
      <c r="C1161" t="n">
        <v>0</v>
      </c>
      <c r="D1161" t="n">
        <v>6509</v>
      </c>
      <c r="E1161" t="s">
        <v>1171</v>
      </c>
      <c r="F1161">
        <f>HYPERLINK("https://video.twimg.com/amplify_video/993516256119570432/vid/1280x720/vFFhMZjr2HF6Q0WB.mp4?tag=2", "https://video.twimg.com/amplify_video/993516256119570432/vid/1280x720/vFFhMZjr2HF6Q0WB.mp4?tag=2")</f>
        <v/>
      </c>
      <c r="G1161" t="s"/>
      <c r="H1161" t="s"/>
      <c r="I1161" t="s"/>
      <c r="J1161" t="n">
        <v>0</v>
      </c>
      <c r="K1161" t="n">
        <v>0</v>
      </c>
      <c r="L1161" t="n">
        <v>1</v>
      </c>
      <c r="M1161" t="n">
        <v>0</v>
      </c>
    </row>
    <row r="1162" spans="1:13">
      <c r="A1162" s="1">
        <f>HYPERLINK("http://www.twitter.com/NathanBLawrence/status/994084370016333825", "994084370016333825")</f>
        <v/>
      </c>
      <c r="B1162" s="2" t="n">
        <v>43229.22172453703</v>
      </c>
      <c r="C1162" t="n">
        <v>0</v>
      </c>
      <c r="D1162" t="n">
        <v>3016</v>
      </c>
      <c r="E1162" t="s">
        <v>1172</v>
      </c>
      <c r="F1162">
        <f>HYPERLINK("https://video.twimg.com/amplify_video/993586552889470976/vid/1280x720/mJa0BImBU76_SwWX.mp4?tag=2", "https://video.twimg.com/amplify_video/993586552889470976/vid/1280x720/mJa0BImBU76_SwWX.mp4?tag=2")</f>
        <v/>
      </c>
      <c r="G1162" t="s"/>
      <c r="H1162" t="s"/>
      <c r="I1162" t="s"/>
      <c r="J1162" t="n">
        <v>0.9229000000000001</v>
      </c>
      <c r="K1162" t="n">
        <v>0</v>
      </c>
      <c r="L1162" t="n">
        <v>0.588</v>
      </c>
      <c r="M1162" t="n">
        <v>0.412</v>
      </c>
    </row>
    <row r="1163" spans="1:13">
      <c r="A1163" s="1">
        <f>HYPERLINK("http://www.twitter.com/NathanBLawrence/status/994084344976338947", "994084344976338947")</f>
        <v/>
      </c>
      <c r="B1163" s="2" t="n">
        <v>43229.2216550926</v>
      </c>
      <c r="C1163" t="n">
        <v>0</v>
      </c>
      <c r="D1163" t="n">
        <v>2624</v>
      </c>
      <c r="E1163" t="s">
        <v>1173</v>
      </c>
      <c r="F1163">
        <f>HYPERLINK("https://video.twimg.com/amplify_video/993587819971985408/vid/1280x720/dUYLgGxcZZmXA4Sr.mp4?tag=2", "https://video.twimg.com/amplify_video/993587819971985408/vid/1280x720/dUYLgGxcZZmXA4Sr.mp4?tag=2")</f>
        <v/>
      </c>
      <c r="G1163" t="s"/>
      <c r="H1163" t="s"/>
      <c r="I1163" t="s"/>
      <c r="J1163" t="n">
        <v>0.9678</v>
      </c>
      <c r="K1163" t="n">
        <v>0</v>
      </c>
      <c r="L1163" t="n">
        <v>0.513</v>
      </c>
      <c r="M1163" t="n">
        <v>0.487</v>
      </c>
    </row>
    <row r="1164" spans="1:13">
      <c r="A1164" s="1">
        <f>HYPERLINK("http://www.twitter.com/NathanBLawrence/status/994084291326996481", "994084291326996481")</f>
        <v/>
      </c>
      <c r="B1164" s="2" t="n">
        <v>43229.22150462963</v>
      </c>
      <c r="C1164" t="n">
        <v>0</v>
      </c>
      <c r="D1164" t="n">
        <v>3571</v>
      </c>
      <c r="E1164" t="s">
        <v>1174</v>
      </c>
      <c r="F1164" t="s"/>
      <c r="G1164" t="s"/>
      <c r="H1164" t="s"/>
      <c r="I1164" t="s"/>
      <c r="J1164" t="n">
        <v>0</v>
      </c>
      <c r="K1164" t="n">
        <v>0</v>
      </c>
      <c r="L1164" t="n">
        <v>1</v>
      </c>
      <c r="M1164" t="n">
        <v>0</v>
      </c>
    </row>
    <row r="1165" spans="1:13">
      <c r="A1165" s="1">
        <f>HYPERLINK("http://www.twitter.com/NathanBLawrence/status/994084255260184576", "994084255260184576")</f>
        <v/>
      </c>
      <c r="B1165" s="2" t="n">
        <v>43229.22141203703</v>
      </c>
      <c r="C1165" t="n">
        <v>0</v>
      </c>
      <c r="D1165" t="n">
        <v>468</v>
      </c>
      <c r="E1165" t="s">
        <v>1175</v>
      </c>
      <c r="F1165">
        <f>HYPERLINK("http://pbs.twimg.com/media/DcoppFzW0AAaTg6.jpg", "http://pbs.twimg.com/media/DcoppFzW0AAaTg6.jpg")</f>
        <v/>
      </c>
      <c r="G1165" t="s"/>
      <c r="H1165" t="s"/>
      <c r="I1165" t="s"/>
      <c r="J1165" t="n">
        <v>0.4767</v>
      </c>
      <c r="K1165" t="n">
        <v>0</v>
      </c>
      <c r="L1165" t="n">
        <v>0.89</v>
      </c>
      <c r="M1165" t="n">
        <v>0.11</v>
      </c>
    </row>
    <row r="1166" spans="1:13">
      <c r="A1166" s="1">
        <f>HYPERLINK("http://www.twitter.com/NathanBLawrence/status/994084128529244161", "994084128529244161")</f>
        <v/>
      </c>
      <c r="B1166" s="2" t="n">
        <v>43229.22106481482</v>
      </c>
      <c r="C1166" t="n">
        <v>0</v>
      </c>
      <c r="D1166" t="n">
        <v>2567</v>
      </c>
      <c r="E1166" t="s">
        <v>1176</v>
      </c>
      <c r="F1166" t="s"/>
      <c r="G1166" t="s"/>
      <c r="H1166" t="s"/>
      <c r="I1166" t="s"/>
      <c r="J1166" t="n">
        <v>0</v>
      </c>
      <c r="K1166" t="n">
        <v>0</v>
      </c>
      <c r="L1166" t="n">
        <v>1</v>
      </c>
      <c r="M1166" t="n">
        <v>0</v>
      </c>
    </row>
    <row r="1167" spans="1:13">
      <c r="A1167" s="1">
        <f>HYPERLINK("http://www.twitter.com/NathanBLawrence/status/994084054684364800", "994084054684364800")</f>
        <v/>
      </c>
      <c r="B1167" s="2" t="n">
        <v>43229.22085648148</v>
      </c>
      <c r="C1167" t="n">
        <v>0</v>
      </c>
      <c r="D1167" t="n">
        <v>8324</v>
      </c>
      <c r="E1167" t="s">
        <v>1177</v>
      </c>
      <c r="F1167">
        <f>HYPERLINK("https://video.twimg.com/amplify_video/993866128488153092/vid/1280x720/Fb0fYEYFk8W68NKz.mp4?tag=2", "https://video.twimg.com/amplify_video/993866128488153092/vid/1280x720/Fb0fYEYFk8W68NKz.mp4?tag=2")</f>
        <v/>
      </c>
      <c r="G1167" t="s"/>
      <c r="H1167" t="s"/>
      <c r="I1167" t="s"/>
      <c r="J1167" t="n">
        <v>0.8555</v>
      </c>
      <c r="K1167" t="n">
        <v>0</v>
      </c>
      <c r="L1167" t="n">
        <v>0.6909999999999999</v>
      </c>
      <c r="M1167" t="n">
        <v>0.309</v>
      </c>
    </row>
    <row r="1168" spans="1:13">
      <c r="A1168" s="1">
        <f>HYPERLINK("http://www.twitter.com/NathanBLawrence/status/994083835611623424", "994083835611623424")</f>
        <v/>
      </c>
      <c r="B1168" s="2" t="n">
        <v>43229.22025462963</v>
      </c>
      <c r="C1168" t="n">
        <v>0</v>
      </c>
      <c r="D1168" t="n">
        <v>3861</v>
      </c>
      <c r="E1168" t="s">
        <v>1178</v>
      </c>
      <c r="F1168" t="s"/>
      <c r="G1168" t="s"/>
      <c r="H1168" t="s"/>
      <c r="I1168" t="s"/>
      <c r="J1168" t="n">
        <v>0.5562</v>
      </c>
      <c r="K1168" t="n">
        <v>0</v>
      </c>
      <c r="L1168" t="n">
        <v>0.86</v>
      </c>
      <c r="M1168" t="n">
        <v>0.14</v>
      </c>
    </row>
    <row r="1169" spans="1:13">
      <c r="A1169" s="1">
        <f>HYPERLINK("http://www.twitter.com/NathanBLawrence/status/994082835785973760", "994082835785973760")</f>
        <v/>
      </c>
      <c r="B1169" s="2" t="n">
        <v>43229.21748842593</v>
      </c>
      <c r="C1169" t="n">
        <v>0</v>
      </c>
      <c r="D1169" t="n">
        <v>1477</v>
      </c>
      <c r="E1169" t="s">
        <v>1179</v>
      </c>
      <c r="F1169">
        <f>HYPERLINK("http://pbs.twimg.com/media/DcuMd_iW4AUZMVS.jpg", "http://pbs.twimg.com/media/DcuMd_iW4AUZMVS.jpg")</f>
        <v/>
      </c>
      <c r="G1169" t="s"/>
      <c r="H1169" t="s"/>
      <c r="I1169" t="s"/>
      <c r="J1169" t="n">
        <v>0.5859</v>
      </c>
      <c r="K1169" t="n">
        <v>0</v>
      </c>
      <c r="L1169" t="n">
        <v>0.853</v>
      </c>
      <c r="M1169" t="n">
        <v>0.147</v>
      </c>
    </row>
    <row r="1170" spans="1:13">
      <c r="A1170" s="1">
        <f>HYPERLINK("http://www.twitter.com/NathanBLawrence/status/994082609499181056", "994082609499181056")</f>
        <v/>
      </c>
      <c r="B1170" s="2" t="n">
        <v>43229.21686342593</v>
      </c>
      <c r="C1170" t="n">
        <v>0</v>
      </c>
      <c r="D1170" t="n">
        <v>1</v>
      </c>
      <c r="E1170" t="s">
        <v>1180</v>
      </c>
      <c r="F1170">
        <f>HYPERLINK("http://pbs.twimg.com/media/DcoT5gqUwAAD9Lu.jpg", "http://pbs.twimg.com/media/DcoT5gqUwAAD9Lu.jpg")</f>
        <v/>
      </c>
      <c r="G1170" t="s"/>
      <c r="H1170" t="s"/>
      <c r="I1170" t="s"/>
      <c r="J1170" t="n">
        <v>-0.4939</v>
      </c>
      <c r="K1170" t="n">
        <v>0.225</v>
      </c>
      <c r="L1170" t="n">
        <v>0.775</v>
      </c>
      <c r="M1170" t="n">
        <v>0</v>
      </c>
    </row>
    <row r="1171" spans="1:13">
      <c r="A1171" s="1">
        <f>HYPERLINK("http://www.twitter.com/NathanBLawrence/status/994081860572590080", "994081860572590080")</f>
        <v/>
      </c>
      <c r="B1171" s="2" t="n">
        <v>43229.21480324074</v>
      </c>
      <c r="C1171" t="n">
        <v>0</v>
      </c>
      <c r="D1171" t="n">
        <v>3</v>
      </c>
      <c r="E1171" t="s">
        <v>1181</v>
      </c>
      <c r="F1171">
        <f>HYPERLINK("http://pbs.twimg.com/media/Dcr6i-mVQAAeieK.jpg", "http://pbs.twimg.com/media/Dcr6i-mVQAAeieK.jpg")</f>
        <v/>
      </c>
      <c r="G1171" t="s"/>
      <c r="H1171" t="s"/>
      <c r="I1171" t="s"/>
      <c r="J1171" t="n">
        <v>0</v>
      </c>
      <c r="K1171" t="n">
        <v>0</v>
      </c>
      <c r="L1171" t="n">
        <v>1</v>
      </c>
      <c r="M1171" t="n">
        <v>0</v>
      </c>
    </row>
    <row r="1172" spans="1:13">
      <c r="A1172" s="1">
        <f>HYPERLINK("http://www.twitter.com/NathanBLawrence/status/994081370950590465", "994081370950590465")</f>
        <v/>
      </c>
      <c r="B1172" s="2" t="n">
        <v>43229.21344907407</v>
      </c>
      <c r="C1172" t="n">
        <v>0</v>
      </c>
      <c r="D1172" t="n">
        <v>1</v>
      </c>
      <c r="E1172" t="s">
        <v>1182</v>
      </c>
      <c r="F1172" t="s"/>
      <c r="G1172" t="s"/>
      <c r="H1172" t="s"/>
      <c r="I1172" t="s"/>
      <c r="J1172" t="n">
        <v>0</v>
      </c>
      <c r="K1172" t="n">
        <v>0</v>
      </c>
      <c r="L1172" t="n">
        <v>1</v>
      </c>
      <c r="M1172" t="n">
        <v>0</v>
      </c>
    </row>
    <row r="1173" spans="1:13">
      <c r="A1173" s="1">
        <f>HYPERLINK("http://www.twitter.com/NathanBLawrence/status/994081321789087744", "994081321789087744")</f>
        <v/>
      </c>
      <c r="B1173" s="2" t="n">
        <v>43229.21331018519</v>
      </c>
      <c r="C1173" t="n">
        <v>0</v>
      </c>
      <c r="D1173" t="n">
        <v>2</v>
      </c>
      <c r="E1173" t="s">
        <v>1183</v>
      </c>
      <c r="F1173" t="s"/>
      <c r="G1173" t="s"/>
      <c r="H1173" t="s"/>
      <c r="I1173" t="s"/>
      <c r="J1173" t="n">
        <v>0</v>
      </c>
      <c r="K1173" t="n">
        <v>0</v>
      </c>
      <c r="L1173" t="n">
        <v>1</v>
      </c>
      <c r="M1173" t="n">
        <v>0</v>
      </c>
    </row>
    <row r="1174" spans="1:13">
      <c r="A1174" s="1">
        <f>HYPERLINK("http://www.twitter.com/NathanBLawrence/status/994081003189817344", "994081003189817344")</f>
        <v/>
      </c>
      <c r="B1174" s="2" t="n">
        <v>43229.21243055556</v>
      </c>
      <c r="C1174" t="n">
        <v>0</v>
      </c>
      <c r="D1174" t="n">
        <v>1981</v>
      </c>
      <c r="E1174" t="s">
        <v>1184</v>
      </c>
      <c r="F1174" t="s"/>
      <c r="G1174" t="s"/>
      <c r="H1174" t="s"/>
      <c r="I1174" t="s"/>
      <c r="J1174" t="n">
        <v>0</v>
      </c>
      <c r="K1174" t="n">
        <v>0</v>
      </c>
      <c r="L1174" t="n">
        <v>1</v>
      </c>
      <c r="M1174" t="n">
        <v>0</v>
      </c>
    </row>
    <row r="1175" spans="1:13">
      <c r="A1175" s="1">
        <f>HYPERLINK("http://www.twitter.com/NathanBLawrence/status/994080966128930816", "994080966128930816")</f>
        <v/>
      </c>
      <c r="B1175" s="2" t="n">
        <v>43229.21233796296</v>
      </c>
      <c r="C1175" t="n">
        <v>0</v>
      </c>
      <c r="D1175" t="n">
        <v>18</v>
      </c>
      <c r="E1175" t="s">
        <v>1185</v>
      </c>
      <c r="F1175" t="s"/>
      <c r="G1175" t="s"/>
      <c r="H1175" t="s"/>
      <c r="I1175" t="s"/>
      <c r="J1175" t="n">
        <v>0</v>
      </c>
      <c r="K1175" t="n">
        <v>0</v>
      </c>
      <c r="L1175" t="n">
        <v>1</v>
      </c>
      <c r="M1175" t="n">
        <v>0</v>
      </c>
    </row>
    <row r="1176" spans="1:13">
      <c r="A1176" s="1">
        <f>HYPERLINK("http://www.twitter.com/NathanBLawrence/status/994080235648937984", "994080235648937984")</f>
        <v/>
      </c>
      <c r="B1176" s="2" t="n">
        <v>43229.2103125</v>
      </c>
      <c r="C1176" t="n">
        <v>0</v>
      </c>
      <c r="D1176" t="n">
        <v>5</v>
      </c>
      <c r="E1176" t="s">
        <v>1186</v>
      </c>
      <c r="F1176" t="s"/>
      <c r="G1176" t="s"/>
      <c r="H1176" t="s"/>
      <c r="I1176" t="s"/>
      <c r="J1176" t="n">
        <v>-0.2808</v>
      </c>
      <c r="K1176" t="n">
        <v>0.08500000000000001</v>
      </c>
      <c r="L1176" t="n">
        <v>0.915</v>
      </c>
      <c r="M1176" t="n">
        <v>0</v>
      </c>
    </row>
    <row r="1177" spans="1:13">
      <c r="A1177" s="1">
        <f>HYPERLINK("http://www.twitter.com/NathanBLawrence/status/994077166974488576", "994077166974488576")</f>
        <v/>
      </c>
      <c r="B1177" s="2" t="n">
        <v>43229.20185185185</v>
      </c>
      <c r="C1177" t="n">
        <v>0</v>
      </c>
      <c r="D1177" t="n">
        <v>0</v>
      </c>
      <c r="E1177" t="s">
        <v>1187</v>
      </c>
      <c r="F1177" t="s"/>
      <c r="G1177" t="s"/>
      <c r="H1177" t="s"/>
      <c r="I1177" t="s"/>
      <c r="J1177" t="n">
        <v>-0.8666</v>
      </c>
      <c r="K1177" t="n">
        <v>0.154</v>
      </c>
      <c r="L1177" t="n">
        <v>0.846</v>
      </c>
      <c r="M1177" t="n">
        <v>0</v>
      </c>
    </row>
    <row r="1178" spans="1:13">
      <c r="A1178" s="1">
        <f>HYPERLINK("http://www.twitter.com/NathanBLawrence/status/994041157079384064", "994041157079384064")</f>
        <v/>
      </c>
      <c r="B1178" s="2" t="n">
        <v>43229.10247685185</v>
      </c>
      <c r="C1178" t="n">
        <v>0</v>
      </c>
      <c r="D1178" t="n">
        <v>20705</v>
      </c>
      <c r="E1178" t="s">
        <v>1188</v>
      </c>
      <c r="F1178" t="s"/>
      <c r="G1178" t="s"/>
      <c r="H1178" t="s"/>
      <c r="I1178" t="s"/>
      <c r="J1178" t="n">
        <v>0.7645</v>
      </c>
      <c r="K1178" t="n">
        <v>0</v>
      </c>
      <c r="L1178" t="n">
        <v>0.777</v>
      </c>
      <c r="M1178" t="n">
        <v>0.223</v>
      </c>
    </row>
    <row r="1179" spans="1:13">
      <c r="A1179" s="1">
        <f>HYPERLINK("http://www.twitter.com/NathanBLawrence/status/994041118563098624", "994041118563098624")</f>
        <v/>
      </c>
      <c r="B1179" s="2" t="n">
        <v>43229.10237268519</v>
      </c>
      <c r="C1179" t="n">
        <v>0</v>
      </c>
      <c r="D1179" t="n">
        <v>17020</v>
      </c>
      <c r="E1179" t="s">
        <v>1189</v>
      </c>
      <c r="F1179" t="s"/>
      <c r="G1179" t="s"/>
      <c r="H1179" t="s"/>
      <c r="I1179" t="s"/>
      <c r="J1179" t="n">
        <v>0.4939</v>
      </c>
      <c r="K1179" t="n">
        <v>0</v>
      </c>
      <c r="L1179" t="n">
        <v>0.873</v>
      </c>
      <c r="M1179" t="n">
        <v>0.127</v>
      </c>
    </row>
    <row r="1180" spans="1:13">
      <c r="A1180" s="1">
        <f>HYPERLINK("http://www.twitter.com/NathanBLawrence/status/994041076565463040", "994041076565463040")</f>
        <v/>
      </c>
      <c r="B1180" s="2" t="n">
        <v>43229.10225694445</v>
      </c>
      <c r="C1180" t="n">
        <v>0</v>
      </c>
      <c r="D1180" t="n">
        <v>33734</v>
      </c>
      <c r="E1180" t="s">
        <v>1190</v>
      </c>
      <c r="F1180" t="s"/>
      <c r="G1180" t="s"/>
      <c r="H1180" t="s"/>
      <c r="I1180" t="s"/>
      <c r="J1180" t="n">
        <v>0.3164</v>
      </c>
      <c r="K1180" t="n">
        <v>0</v>
      </c>
      <c r="L1180" t="n">
        <v>0.913</v>
      </c>
      <c r="M1180" t="n">
        <v>0.08699999999999999</v>
      </c>
    </row>
    <row r="1181" spans="1:13">
      <c r="A1181" s="1">
        <f>HYPERLINK("http://www.twitter.com/NathanBLawrence/status/994041013982281728", "994041013982281728")</f>
        <v/>
      </c>
      <c r="B1181" s="2" t="n">
        <v>43229.10208333333</v>
      </c>
      <c r="C1181" t="n">
        <v>0</v>
      </c>
      <c r="D1181" t="n">
        <v>27637</v>
      </c>
      <c r="E1181" t="s">
        <v>1191</v>
      </c>
      <c r="F1181" t="s"/>
      <c r="G1181" t="s"/>
      <c r="H1181" t="s"/>
      <c r="I1181" t="s"/>
      <c r="J1181" t="n">
        <v>0</v>
      </c>
      <c r="K1181" t="n">
        <v>0</v>
      </c>
      <c r="L1181" t="n">
        <v>1</v>
      </c>
      <c r="M1181" t="n">
        <v>0</v>
      </c>
    </row>
    <row r="1182" spans="1:13">
      <c r="A1182" s="1">
        <f>HYPERLINK("http://www.twitter.com/NathanBLawrence/status/994040985796530176", "994040985796530176")</f>
        <v/>
      </c>
      <c r="B1182" s="2" t="n">
        <v>43229.10201388889</v>
      </c>
      <c r="C1182" t="n">
        <v>0</v>
      </c>
      <c r="D1182" t="n">
        <v>14097</v>
      </c>
      <c r="E1182" t="s">
        <v>1192</v>
      </c>
      <c r="F1182">
        <f>HYPERLINK("https://video.twimg.com/amplify_video/993928565832876033/vid/1280x720/BoaHiydQj1tcBUon.mp4?tag=2", "https://video.twimg.com/amplify_video/993928565832876033/vid/1280x720/BoaHiydQj1tcBUon.mp4?tag=2")</f>
        <v/>
      </c>
      <c r="G1182" t="s"/>
      <c r="H1182" t="s"/>
      <c r="I1182" t="s"/>
      <c r="J1182" t="n">
        <v>0.296</v>
      </c>
      <c r="K1182" t="n">
        <v>0.147</v>
      </c>
      <c r="L1182" t="n">
        <v>0.594</v>
      </c>
      <c r="M1182" t="n">
        <v>0.259</v>
      </c>
    </row>
    <row r="1183" spans="1:13">
      <c r="A1183" s="1">
        <f>HYPERLINK("http://www.twitter.com/NathanBLawrence/status/994040966657982464", "994040966657982464")</f>
        <v/>
      </c>
      <c r="B1183" s="2" t="n">
        <v>43229.10195601852</v>
      </c>
      <c r="C1183" t="n">
        <v>0</v>
      </c>
      <c r="D1183" t="n">
        <v>14497</v>
      </c>
      <c r="E1183" t="s">
        <v>1193</v>
      </c>
      <c r="F1183">
        <f>HYPERLINK("https://video.twimg.com/amplify_video/993927430128652289/vid/1280x720/0afuOa9Cpe6dn8-y.mp4?tag=2", "https://video.twimg.com/amplify_video/993927430128652289/vid/1280x720/0afuOa9Cpe6dn8-y.mp4?tag=2")</f>
        <v/>
      </c>
      <c r="G1183" t="s"/>
      <c r="H1183" t="s"/>
      <c r="I1183" t="s"/>
      <c r="J1183" t="n">
        <v>0.0772</v>
      </c>
      <c r="K1183" t="n">
        <v>0</v>
      </c>
      <c r="L1183" t="n">
        <v>0.9389999999999999</v>
      </c>
      <c r="M1183" t="n">
        <v>0.061</v>
      </c>
    </row>
    <row r="1184" spans="1:13">
      <c r="A1184" s="1">
        <f>HYPERLINK("http://www.twitter.com/NathanBLawrence/status/994040787187908608", "994040787187908608")</f>
        <v/>
      </c>
      <c r="B1184" s="2" t="n">
        <v>43229.10145833333</v>
      </c>
      <c r="C1184" t="n">
        <v>5</v>
      </c>
      <c r="D1184" t="n">
        <v>3</v>
      </c>
      <c r="E1184" t="s">
        <v>1194</v>
      </c>
      <c r="F1184" t="s"/>
      <c r="G1184" t="s"/>
      <c r="H1184" t="s"/>
      <c r="I1184" t="s"/>
      <c r="J1184" t="n">
        <v>0.7563</v>
      </c>
      <c r="K1184" t="n">
        <v>0</v>
      </c>
      <c r="L1184" t="n">
        <v>0.773</v>
      </c>
      <c r="M1184" t="n">
        <v>0.227</v>
      </c>
    </row>
    <row r="1185" spans="1:13">
      <c r="A1185" s="1">
        <f>HYPERLINK("http://www.twitter.com/NathanBLawrence/status/994039406238420993", "994039406238420993")</f>
        <v/>
      </c>
      <c r="B1185" s="2" t="n">
        <v>43229.09765046297</v>
      </c>
      <c r="C1185" t="n">
        <v>0</v>
      </c>
      <c r="D1185" t="n">
        <v>635</v>
      </c>
      <c r="E1185" t="s">
        <v>1195</v>
      </c>
      <c r="F1185">
        <f>HYPERLINK("http://pbs.twimg.com/media/DctJN6oW4AAvglq.jpg", "http://pbs.twimg.com/media/DctJN6oW4AAvglq.jpg")</f>
        <v/>
      </c>
      <c r="G1185" t="s"/>
      <c r="H1185" t="s"/>
      <c r="I1185" t="s"/>
      <c r="J1185" t="n">
        <v>-0.0772</v>
      </c>
      <c r="K1185" t="n">
        <v>0.125</v>
      </c>
      <c r="L1185" t="n">
        <v>0.76</v>
      </c>
      <c r="M1185" t="n">
        <v>0.114</v>
      </c>
    </row>
    <row r="1186" spans="1:13">
      <c r="A1186" s="1">
        <f>HYPERLINK("http://www.twitter.com/NathanBLawrence/status/994037301217935360", "994037301217935360")</f>
        <v/>
      </c>
      <c r="B1186" s="2" t="n">
        <v>43229.09184027778</v>
      </c>
      <c r="C1186" t="n">
        <v>0</v>
      </c>
      <c r="D1186" t="n">
        <v>984</v>
      </c>
      <c r="E1186" t="s">
        <v>1196</v>
      </c>
      <c r="F1186" t="s"/>
      <c r="G1186" t="s"/>
      <c r="H1186" t="s"/>
      <c r="I1186" t="s"/>
      <c r="J1186" t="n">
        <v>-0.4767</v>
      </c>
      <c r="K1186" t="n">
        <v>0.134</v>
      </c>
      <c r="L1186" t="n">
        <v>0.866</v>
      </c>
      <c r="M1186" t="n">
        <v>0</v>
      </c>
    </row>
    <row r="1187" spans="1:13">
      <c r="A1187" s="1">
        <f>HYPERLINK("http://www.twitter.com/NathanBLawrence/status/994037159853047808", "994037159853047808")</f>
        <v/>
      </c>
      <c r="B1187" s="2" t="n">
        <v>43229.09144675926</v>
      </c>
      <c r="C1187" t="n">
        <v>1</v>
      </c>
      <c r="D1187" t="n">
        <v>0</v>
      </c>
      <c r="E1187" t="s">
        <v>1197</v>
      </c>
      <c r="F1187" t="s"/>
      <c r="G1187" t="s"/>
      <c r="H1187" t="s"/>
      <c r="I1187" t="s"/>
      <c r="J1187" t="n">
        <v>-0.7845</v>
      </c>
      <c r="K1187" t="n">
        <v>0.535</v>
      </c>
      <c r="L1187" t="n">
        <v>0.465</v>
      </c>
      <c r="M1187" t="n">
        <v>0</v>
      </c>
    </row>
    <row r="1188" spans="1:13">
      <c r="A1188" s="1">
        <f>HYPERLINK("http://www.twitter.com/NathanBLawrence/status/994036329427099650", "994036329427099650")</f>
        <v/>
      </c>
      <c r="B1188" s="2" t="n">
        <v>43229.0891550926</v>
      </c>
      <c r="C1188" t="n">
        <v>0</v>
      </c>
      <c r="D1188" t="n">
        <v>1334</v>
      </c>
      <c r="E1188" t="s">
        <v>1198</v>
      </c>
      <c r="F1188">
        <f>HYPERLINK("https://video.twimg.com/amplify_video/993620905455742979/vid/1280x720/4MFWKMj9YmBG3URz.mp4?tag=2", "https://video.twimg.com/amplify_video/993620905455742979/vid/1280x720/4MFWKMj9YmBG3URz.mp4?tag=2")</f>
        <v/>
      </c>
      <c r="G1188" t="s"/>
      <c r="H1188" t="s"/>
      <c r="I1188" t="s"/>
      <c r="J1188" t="n">
        <v>0.383</v>
      </c>
      <c r="K1188" t="n">
        <v>0.08799999999999999</v>
      </c>
      <c r="L1188" t="n">
        <v>0.72</v>
      </c>
      <c r="M1188" t="n">
        <v>0.192</v>
      </c>
    </row>
    <row r="1189" spans="1:13">
      <c r="A1189" s="1">
        <f>HYPERLINK("http://www.twitter.com/NathanBLawrence/status/994036146291204097", "994036146291204097")</f>
        <v/>
      </c>
      <c r="B1189" s="2" t="n">
        <v>43229.08865740741</v>
      </c>
      <c r="C1189" t="n">
        <v>0</v>
      </c>
      <c r="D1189" t="n">
        <v>2347</v>
      </c>
      <c r="E1189" t="s">
        <v>1199</v>
      </c>
      <c r="F1189" t="s"/>
      <c r="G1189" t="s"/>
      <c r="H1189" t="s"/>
      <c r="I1189" t="s"/>
      <c r="J1189" t="n">
        <v>-0.2023</v>
      </c>
      <c r="K1189" t="n">
        <v>0.11</v>
      </c>
      <c r="L1189" t="n">
        <v>0.8129999999999999</v>
      </c>
      <c r="M1189" t="n">
        <v>0.077</v>
      </c>
    </row>
    <row r="1190" spans="1:13">
      <c r="A1190" s="1">
        <f>HYPERLINK("http://www.twitter.com/NathanBLawrence/status/994036023762894849", "994036023762894849")</f>
        <v/>
      </c>
      <c r="B1190" s="2" t="n">
        <v>43229.08832175926</v>
      </c>
      <c r="C1190" t="n">
        <v>0</v>
      </c>
      <c r="D1190" t="n">
        <v>474</v>
      </c>
      <c r="E1190" t="s">
        <v>1200</v>
      </c>
      <c r="F1190">
        <f>HYPERLINK("http://pbs.twimg.com/media/Dco2V7jWAAExpWp.jpg", "http://pbs.twimg.com/media/Dco2V7jWAAExpWp.jpg")</f>
        <v/>
      </c>
      <c r="G1190" t="s"/>
      <c r="H1190" t="s"/>
      <c r="I1190" t="s"/>
      <c r="J1190" t="n">
        <v>-0.3818</v>
      </c>
      <c r="K1190" t="n">
        <v>0.3</v>
      </c>
      <c r="L1190" t="n">
        <v>0.5620000000000001</v>
      </c>
      <c r="M1190" t="n">
        <v>0.138</v>
      </c>
    </row>
    <row r="1191" spans="1:13">
      <c r="A1191" s="1">
        <f>HYPERLINK("http://www.twitter.com/NathanBLawrence/status/994035814609833984", "994035814609833984")</f>
        <v/>
      </c>
      <c r="B1191" s="2" t="n">
        <v>43229.08774305556</v>
      </c>
      <c r="C1191" t="n">
        <v>0</v>
      </c>
      <c r="D1191" t="n">
        <v>266</v>
      </c>
      <c r="E1191" t="s">
        <v>1201</v>
      </c>
      <c r="F1191" t="s"/>
      <c r="G1191" t="s"/>
      <c r="H1191" t="s"/>
      <c r="I1191" t="s"/>
      <c r="J1191" t="n">
        <v>0</v>
      </c>
      <c r="K1191" t="n">
        <v>0</v>
      </c>
      <c r="L1191" t="n">
        <v>1</v>
      </c>
      <c r="M1191" t="n">
        <v>0</v>
      </c>
    </row>
    <row r="1192" spans="1:13">
      <c r="A1192" s="1">
        <f>HYPERLINK("http://www.twitter.com/NathanBLawrence/status/994035709416648704", "994035709416648704")</f>
        <v/>
      </c>
      <c r="B1192" s="2" t="n">
        <v>43229.0874537037</v>
      </c>
      <c r="C1192" t="n">
        <v>0</v>
      </c>
      <c r="D1192" t="n">
        <v>561</v>
      </c>
      <c r="E1192" t="s">
        <v>1202</v>
      </c>
      <c r="F1192">
        <f>HYPERLINK("http://pbs.twimg.com/media/DcrKD6MW4AA5mes.jpg", "http://pbs.twimg.com/media/DcrKD6MW4AA5mes.jpg")</f>
        <v/>
      </c>
      <c r="G1192" t="s"/>
      <c r="H1192" t="s"/>
      <c r="I1192" t="s"/>
      <c r="J1192" t="n">
        <v>0</v>
      </c>
      <c r="K1192" t="n">
        <v>0</v>
      </c>
      <c r="L1192" t="n">
        <v>1</v>
      </c>
      <c r="M1192" t="n">
        <v>0</v>
      </c>
    </row>
    <row r="1193" spans="1:13">
      <c r="A1193" s="1">
        <f>HYPERLINK("http://www.twitter.com/NathanBLawrence/status/994035227369529345", "994035227369529345")</f>
        <v/>
      </c>
      <c r="B1193" s="2" t="n">
        <v>43229.08612268518</v>
      </c>
      <c r="C1193" t="n">
        <v>4</v>
      </c>
      <c r="D1193" t="n">
        <v>2</v>
      </c>
      <c r="E1193" t="s">
        <v>1203</v>
      </c>
      <c r="F1193" t="s"/>
      <c r="G1193" t="s"/>
      <c r="H1193" t="s"/>
      <c r="I1193" t="s"/>
      <c r="J1193" t="n">
        <v>-0.5423</v>
      </c>
      <c r="K1193" t="n">
        <v>0.171</v>
      </c>
      <c r="L1193" t="n">
        <v>0.829</v>
      </c>
      <c r="M1193" t="n">
        <v>0</v>
      </c>
    </row>
    <row r="1194" spans="1:13">
      <c r="A1194" s="1">
        <f>HYPERLINK("http://www.twitter.com/NathanBLawrence/status/994034184606765056", "994034184606765056")</f>
        <v/>
      </c>
      <c r="B1194" s="2" t="n">
        <v>43229.08324074074</v>
      </c>
      <c r="C1194" t="n">
        <v>2</v>
      </c>
      <c r="D1194" t="n">
        <v>1</v>
      </c>
      <c r="E1194" t="s">
        <v>1204</v>
      </c>
      <c r="F1194" t="s"/>
      <c r="G1194" t="s"/>
      <c r="H1194" t="s"/>
      <c r="I1194" t="s"/>
      <c r="J1194" t="n">
        <v>0</v>
      </c>
      <c r="K1194" t="n">
        <v>0</v>
      </c>
      <c r="L1194" t="n">
        <v>1</v>
      </c>
      <c r="M1194" t="n">
        <v>0</v>
      </c>
    </row>
    <row r="1195" spans="1:13">
      <c r="A1195" s="1">
        <f>HYPERLINK("http://www.twitter.com/NathanBLawrence/status/994032828697329665", "994032828697329665")</f>
        <v/>
      </c>
      <c r="B1195" s="2" t="n">
        <v>43229.07950231482</v>
      </c>
      <c r="C1195" t="n">
        <v>0</v>
      </c>
      <c r="D1195" t="n">
        <v>1199</v>
      </c>
      <c r="E1195" t="s">
        <v>1205</v>
      </c>
      <c r="F1195" t="s"/>
      <c r="G1195" t="s"/>
      <c r="H1195" t="s"/>
      <c r="I1195" t="s"/>
      <c r="J1195" t="n">
        <v>-0.8316</v>
      </c>
      <c r="K1195" t="n">
        <v>0.464</v>
      </c>
      <c r="L1195" t="n">
        <v>0.536</v>
      </c>
      <c r="M1195" t="n">
        <v>0</v>
      </c>
    </row>
    <row r="1196" spans="1:13">
      <c r="A1196" s="1">
        <f>HYPERLINK("http://www.twitter.com/NathanBLawrence/status/994032248994185217", "994032248994185217")</f>
        <v/>
      </c>
      <c r="B1196" s="2" t="n">
        <v>43229.07790509259</v>
      </c>
      <c r="C1196" t="n">
        <v>0</v>
      </c>
      <c r="D1196" t="n">
        <v>0</v>
      </c>
      <c r="E1196" t="s">
        <v>1206</v>
      </c>
      <c r="F1196" t="s"/>
      <c r="G1196" t="s"/>
      <c r="H1196" t="s"/>
      <c r="I1196" t="s"/>
      <c r="J1196" t="n">
        <v>0.4954</v>
      </c>
      <c r="K1196" t="n">
        <v>0.109</v>
      </c>
      <c r="L1196" t="n">
        <v>0.6860000000000001</v>
      </c>
      <c r="M1196" t="n">
        <v>0.205</v>
      </c>
    </row>
    <row r="1197" spans="1:13">
      <c r="A1197" s="1">
        <f>HYPERLINK("http://www.twitter.com/NathanBLawrence/status/994026973507739648", "994026973507739648")</f>
        <v/>
      </c>
      <c r="B1197" s="2" t="n">
        <v>43229.06334490741</v>
      </c>
      <c r="C1197" t="n">
        <v>0</v>
      </c>
      <c r="D1197" t="n">
        <v>316</v>
      </c>
      <c r="E1197" t="s">
        <v>1207</v>
      </c>
      <c r="F1197" t="s"/>
      <c r="G1197" t="s"/>
      <c r="H1197" t="s"/>
      <c r="I1197" t="s"/>
      <c r="J1197" t="n">
        <v>-0.2263</v>
      </c>
      <c r="K1197" t="n">
        <v>0.106</v>
      </c>
      <c r="L1197" t="n">
        <v>0.824</v>
      </c>
      <c r="M1197" t="n">
        <v>0.07099999999999999</v>
      </c>
    </row>
    <row r="1198" spans="1:13">
      <c r="A1198" s="1">
        <f>HYPERLINK("http://www.twitter.com/NathanBLawrence/status/993999235052814336", "993999235052814336")</f>
        <v/>
      </c>
      <c r="B1198" s="2" t="n">
        <v>43228.98679398148</v>
      </c>
      <c r="C1198" t="n">
        <v>0</v>
      </c>
      <c r="D1198" t="n">
        <v>194</v>
      </c>
      <c r="E1198" t="s">
        <v>1208</v>
      </c>
      <c r="F1198" t="s"/>
      <c r="G1198" t="s"/>
      <c r="H1198" t="s"/>
      <c r="I1198" t="s"/>
      <c r="J1198" t="n">
        <v>0.4199</v>
      </c>
      <c r="K1198" t="n">
        <v>0</v>
      </c>
      <c r="L1198" t="n">
        <v>0.887</v>
      </c>
      <c r="M1198" t="n">
        <v>0.113</v>
      </c>
    </row>
    <row r="1199" spans="1:13">
      <c r="A1199" s="1">
        <f>HYPERLINK("http://www.twitter.com/NathanBLawrence/status/993998916235419649", "993998916235419649")</f>
        <v/>
      </c>
      <c r="B1199" s="2" t="n">
        <v>43228.98591435186</v>
      </c>
      <c r="C1199" t="n">
        <v>0</v>
      </c>
      <c r="D1199" t="n">
        <v>787</v>
      </c>
      <c r="E1199" t="s">
        <v>1209</v>
      </c>
      <c r="F1199">
        <f>HYPERLINK("http://pbs.twimg.com/media/Dcq8i6sUQAIzQvJ.jpg", "http://pbs.twimg.com/media/Dcq8i6sUQAIzQvJ.jpg")</f>
        <v/>
      </c>
      <c r="G1199" t="s"/>
      <c r="H1199" t="s"/>
      <c r="I1199" t="s"/>
      <c r="J1199" t="n">
        <v>0.7911</v>
      </c>
      <c r="K1199" t="n">
        <v>0</v>
      </c>
      <c r="L1199" t="n">
        <v>0.72</v>
      </c>
      <c r="M1199" t="n">
        <v>0.28</v>
      </c>
    </row>
    <row r="1200" spans="1:13">
      <c r="A1200" s="1">
        <f>HYPERLINK("http://www.twitter.com/NathanBLawrence/status/993998821330894848", "993998821330894848")</f>
        <v/>
      </c>
      <c r="B1200" s="2" t="n">
        <v>43228.98565972222</v>
      </c>
      <c r="C1200" t="n">
        <v>0</v>
      </c>
      <c r="D1200" t="n">
        <v>4032</v>
      </c>
      <c r="E1200" t="s">
        <v>1210</v>
      </c>
      <c r="F1200" t="s"/>
      <c r="G1200" t="s"/>
      <c r="H1200" t="s"/>
      <c r="I1200" t="s"/>
      <c r="J1200" t="n">
        <v>0.7939000000000001</v>
      </c>
      <c r="K1200" t="n">
        <v>0.06</v>
      </c>
      <c r="L1200" t="n">
        <v>0.659</v>
      </c>
      <c r="M1200" t="n">
        <v>0.281</v>
      </c>
    </row>
    <row r="1201" spans="1:13">
      <c r="A1201" s="1">
        <f>HYPERLINK("http://www.twitter.com/NathanBLawrence/status/993998754440085504", "993998754440085504")</f>
        <v/>
      </c>
      <c r="B1201" s="2" t="n">
        <v>43228.98547453704</v>
      </c>
      <c r="C1201" t="n">
        <v>0</v>
      </c>
      <c r="D1201" t="n">
        <v>229</v>
      </c>
      <c r="E1201" t="s">
        <v>1211</v>
      </c>
      <c r="F1201">
        <f>HYPERLINK("http://pbs.twimg.com/media/DcraYu0VQAAtH4u.jpg", "http://pbs.twimg.com/media/DcraYu0VQAAtH4u.jpg")</f>
        <v/>
      </c>
      <c r="G1201" t="s"/>
      <c r="H1201" t="s"/>
      <c r="I1201" t="s"/>
      <c r="J1201" t="n">
        <v>0</v>
      </c>
      <c r="K1201" t="n">
        <v>0</v>
      </c>
      <c r="L1201" t="n">
        <v>1</v>
      </c>
      <c r="M1201" t="n">
        <v>0</v>
      </c>
    </row>
    <row r="1202" spans="1:13">
      <c r="A1202" s="1">
        <f>HYPERLINK("http://www.twitter.com/NathanBLawrence/status/993998421458534401", "993998421458534401")</f>
        <v/>
      </c>
      <c r="B1202" s="2" t="n">
        <v>43228.98454861111</v>
      </c>
      <c r="C1202" t="n">
        <v>4</v>
      </c>
      <c r="D1202" t="n">
        <v>4</v>
      </c>
      <c r="E1202" t="s">
        <v>1212</v>
      </c>
      <c r="F1202" t="s"/>
      <c r="G1202" t="s"/>
      <c r="H1202" t="s"/>
      <c r="I1202" t="s"/>
      <c r="J1202" t="n">
        <v>-0.7672</v>
      </c>
      <c r="K1202" t="n">
        <v>0.268</v>
      </c>
      <c r="L1202" t="n">
        <v>0.647</v>
      </c>
      <c r="M1202" t="n">
        <v>0.08500000000000001</v>
      </c>
    </row>
    <row r="1203" spans="1:13">
      <c r="A1203" s="1">
        <f>HYPERLINK("http://www.twitter.com/NathanBLawrence/status/993996333932408833", "993996333932408833")</f>
        <v/>
      </c>
      <c r="B1203" s="2" t="n">
        <v>43228.97879629629</v>
      </c>
      <c r="C1203" t="n">
        <v>0</v>
      </c>
      <c r="D1203" t="n">
        <v>5945</v>
      </c>
      <c r="E1203" t="s">
        <v>1213</v>
      </c>
      <c r="F1203" t="s"/>
      <c r="G1203" t="s"/>
      <c r="H1203" t="s"/>
      <c r="I1203" t="s"/>
      <c r="J1203" t="n">
        <v>0.5719</v>
      </c>
      <c r="K1203" t="n">
        <v>0</v>
      </c>
      <c r="L1203" t="n">
        <v>0.85</v>
      </c>
      <c r="M1203" t="n">
        <v>0.15</v>
      </c>
    </row>
    <row r="1204" spans="1:13">
      <c r="A1204" s="1">
        <f>HYPERLINK("http://www.twitter.com/NathanBLawrence/status/993996286218059776", "993996286218059776")</f>
        <v/>
      </c>
      <c r="B1204" s="2" t="n">
        <v>43228.97865740741</v>
      </c>
      <c r="C1204" t="n">
        <v>0</v>
      </c>
      <c r="D1204" t="n">
        <v>1224</v>
      </c>
      <c r="E1204" t="s">
        <v>1214</v>
      </c>
      <c r="F1204" t="s"/>
      <c r="G1204" t="s"/>
      <c r="H1204" t="s"/>
      <c r="I1204" t="s"/>
      <c r="J1204" t="n">
        <v>0</v>
      </c>
      <c r="K1204" t="n">
        <v>0</v>
      </c>
      <c r="L1204" t="n">
        <v>1</v>
      </c>
      <c r="M1204" t="n">
        <v>0</v>
      </c>
    </row>
    <row r="1205" spans="1:13">
      <c r="A1205" s="1">
        <f>HYPERLINK("http://www.twitter.com/NathanBLawrence/status/993996015848964097", "993996015848964097")</f>
        <v/>
      </c>
      <c r="B1205" s="2" t="n">
        <v>43228.97791666666</v>
      </c>
      <c r="C1205" t="n">
        <v>0</v>
      </c>
      <c r="D1205" t="n">
        <v>907</v>
      </c>
      <c r="E1205" t="s">
        <v>1215</v>
      </c>
      <c r="F1205" t="s"/>
      <c r="G1205" t="s"/>
      <c r="H1205" t="s"/>
      <c r="I1205" t="s"/>
      <c r="J1205" t="n">
        <v>-0.3182</v>
      </c>
      <c r="K1205" t="n">
        <v>0.181</v>
      </c>
      <c r="L1205" t="n">
        <v>0.704</v>
      </c>
      <c r="M1205" t="n">
        <v>0.116</v>
      </c>
    </row>
    <row r="1206" spans="1:13">
      <c r="A1206" s="1">
        <f>HYPERLINK("http://www.twitter.com/NathanBLawrence/status/993995925235249152", "993995925235249152")</f>
        <v/>
      </c>
      <c r="B1206" s="2" t="n">
        <v>43228.97766203704</v>
      </c>
      <c r="C1206" t="n">
        <v>0</v>
      </c>
      <c r="D1206" t="n">
        <v>1063</v>
      </c>
      <c r="E1206" t="s">
        <v>1216</v>
      </c>
      <c r="F1206" t="s"/>
      <c r="G1206" t="s"/>
      <c r="H1206" t="s"/>
      <c r="I1206" t="s"/>
      <c r="J1206" t="n">
        <v>0</v>
      </c>
      <c r="K1206" t="n">
        <v>0</v>
      </c>
      <c r="L1206" t="n">
        <v>1</v>
      </c>
      <c r="M1206" t="n">
        <v>0</v>
      </c>
    </row>
    <row r="1207" spans="1:13">
      <c r="A1207" s="1">
        <f>HYPERLINK("http://www.twitter.com/NathanBLawrence/status/993995767986569217", "993995767986569217")</f>
        <v/>
      </c>
      <c r="B1207" s="2" t="n">
        <v>43228.97723379629</v>
      </c>
      <c r="C1207" t="n">
        <v>0</v>
      </c>
      <c r="D1207" t="n">
        <v>4688</v>
      </c>
      <c r="E1207" t="s">
        <v>1217</v>
      </c>
      <c r="F1207" t="s"/>
      <c r="G1207" t="s"/>
      <c r="H1207" t="s"/>
      <c r="I1207" t="s"/>
      <c r="J1207" t="n">
        <v>0.3612</v>
      </c>
      <c r="K1207" t="n">
        <v>0</v>
      </c>
      <c r="L1207" t="n">
        <v>0.8</v>
      </c>
      <c r="M1207" t="n">
        <v>0.2</v>
      </c>
    </row>
    <row r="1208" spans="1:13">
      <c r="A1208" s="1">
        <f>HYPERLINK("http://www.twitter.com/NathanBLawrence/status/993994984692076545", "993994984692076545")</f>
        <v/>
      </c>
      <c r="B1208" s="2" t="n">
        <v>43228.97506944444</v>
      </c>
      <c r="C1208" t="n">
        <v>0</v>
      </c>
      <c r="D1208" t="n">
        <v>1246</v>
      </c>
      <c r="E1208" t="s">
        <v>1218</v>
      </c>
      <c r="F1208" t="s"/>
      <c r="G1208" t="s"/>
      <c r="H1208" t="s"/>
      <c r="I1208" t="s"/>
      <c r="J1208" t="n">
        <v>0.34</v>
      </c>
      <c r="K1208" t="n">
        <v>0</v>
      </c>
      <c r="L1208" t="n">
        <v>0.888</v>
      </c>
      <c r="M1208" t="n">
        <v>0.112</v>
      </c>
    </row>
    <row r="1209" spans="1:13">
      <c r="A1209" s="1">
        <f>HYPERLINK("http://www.twitter.com/NathanBLawrence/status/993994785743515648", "993994785743515648")</f>
        <v/>
      </c>
      <c r="B1209" s="2" t="n">
        <v>43228.97452546296</v>
      </c>
      <c r="C1209" t="n">
        <v>0</v>
      </c>
      <c r="D1209" t="n">
        <v>490</v>
      </c>
      <c r="E1209" t="s">
        <v>1219</v>
      </c>
      <c r="F1209">
        <f>HYPERLINK("http://pbs.twimg.com/media/Dcrb3LCW4AAOBfC.jpg", "http://pbs.twimg.com/media/Dcrb3LCW4AAOBfC.jpg")</f>
        <v/>
      </c>
      <c r="G1209" t="s"/>
      <c r="H1209" t="s"/>
      <c r="I1209" t="s"/>
      <c r="J1209" t="n">
        <v>-0.5423</v>
      </c>
      <c r="K1209" t="n">
        <v>0.132</v>
      </c>
      <c r="L1209" t="n">
        <v>0.868</v>
      </c>
      <c r="M1209" t="n">
        <v>0</v>
      </c>
    </row>
    <row r="1210" spans="1:13">
      <c r="A1210" s="1">
        <f>HYPERLINK("http://www.twitter.com/NathanBLawrence/status/993994694664179712", "993994694664179712")</f>
        <v/>
      </c>
      <c r="B1210" s="2" t="n">
        <v>43228.97427083334</v>
      </c>
      <c r="C1210" t="n">
        <v>0</v>
      </c>
      <c r="D1210" t="n">
        <v>5918</v>
      </c>
      <c r="E1210" t="s">
        <v>1220</v>
      </c>
      <c r="F1210">
        <f>HYPERLINK("http://pbs.twimg.com/media/DcrXRkeV4AAtX1d.jpg", "http://pbs.twimg.com/media/DcrXRkeV4AAtX1d.jpg")</f>
        <v/>
      </c>
      <c r="G1210" t="s"/>
      <c r="H1210" t="s"/>
      <c r="I1210" t="s"/>
      <c r="J1210" t="n">
        <v>0.3612</v>
      </c>
      <c r="K1210" t="n">
        <v>0</v>
      </c>
      <c r="L1210" t="n">
        <v>0.8</v>
      </c>
      <c r="M1210" t="n">
        <v>0.2</v>
      </c>
    </row>
    <row r="1211" spans="1:13">
      <c r="A1211" s="1">
        <f>HYPERLINK("http://www.twitter.com/NathanBLawrence/status/993994516129460224", "993994516129460224")</f>
        <v/>
      </c>
      <c r="B1211" s="2" t="n">
        <v>43228.97377314815</v>
      </c>
      <c r="C1211" t="n">
        <v>0</v>
      </c>
      <c r="D1211" t="n">
        <v>2908</v>
      </c>
      <c r="E1211" t="s">
        <v>1221</v>
      </c>
      <c r="F1211" t="s"/>
      <c r="G1211" t="s"/>
      <c r="H1211" t="s"/>
      <c r="I1211" t="s"/>
      <c r="J1211" t="n">
        <v>-0.6486</v>
      </c>
      <c r="K1211" t="n">
        <v>0.261</v>
      </c>
      <c r="L1211" t="n">
        <v>0.627</v>
      </c>
      <c r="M1211" t="n">
        <v>0.111</v>
      </c>
    </row>
    <row r="1212" spans="1:13">
      <c r="A1212" s="1">
        <f>HYPERLINK("http://www.twitter.com/NathanBLawrence/status/993994441890279424", "993994441890279424")</f>
        <v/>
      </c>
      <c r="B1212" s="2" t="n">
        <v>43228.97357638889</v>
      </c>
      <c r="C1212" t="n">
        <v>0</v>
      </c>
      <c r="D1212" t="n">
        <v>16</v>
      </c>
      <c r="E1212" t="s">
        <v>1222</v>
      </c>
      <c r="F1212" t="s"/>
      <c r="G1212" t="s"/>
      <c r="H1212" t="s"/>
      <c r="I1212" t="s"/>
      <c r="J1212" t="n">
        <v>0.6553</v>
      </c>
      <c r="K1212" t="n">
        <v>0</v>
      </c>
      <c r="L1212" t="n">
        <v>0.789</v>
      </c>
      <c r="M1212" t="n">
        <v>0.211</v>
      </c>
    </row>
    <row r="1213" spans="1:13">
      <c r="A1213" s="1">
        <f>HYPERLINK("http://www.twitter.com/NathanBLawrence/status/993994246527971329", "993994246527971329")</f>
        <v/>
      </c>
      <c r="B1213" s="2" t="n">
        <v>43228.9730324074</v>
      </c>
      <c r="C1213" t="n">
        <v>0</v>
      </c>
      <c r="D1213" t="n">
        <v>216</v>
      </c>
      <c r="E1213" t="s">
        <v>1223</v>
      </c>
      <c r="F1213">
        <f>HYPERLINK("http://pbs.twimg.com/media/DcrlnE6VMAEOJaK.jpg", "http://pbs.twimg.com/media/DcrlnE6VMAEOJaK.jpg")</f>
        <v/>
      </c>
      <c r="G1213">
        <f>HYPERLINK("http://pbs.twimg.com/media/Dcrlno1U0AAMmqv.jpg", "http://pbs.twimg.com/media/Dcrlno1U0AAMmqv.jpg")</f>
        <v/>
      </c>
      <c r="H1213">
        <f>HYPERLINK("http://pbs.twimg.com/media/DcrloPuV0AYzZmm.jpg", "http://pbs.twimg.com/media/DcrloPuV0AYzZmm.jpg")</f>
        <v/>
      </c>
      <c r="I1213" t="s"/>
      <c r="J1213" t="n">
        <v>0</v>
      </c>
      <c r="K1213" t="n">
        <v>0</v>
      </c>
      <c r="L1213" t="n">
        <v>1</v>
      </c>
      <c r="M1213" t="n">
        <v>0</v>
      </c>
    </row>
    <row r="1214" spans="1:13">
      <c r="A1214" s="1">
        <f>HYPERLINK("http://www.twitter.com/NathanBLawrence/status/993993987957534722", "993993987957534722")</f>
        <v/>
      </c>
      <c r="B1214" s="2" t="n">
        <v>43228.97231481481</v>
      </c>
      <c r="C1214" t="n">
        <v>0</v>
      </c>
      <c r="D1214" t="n">
        <v>1</v>
      </c>
      <c r="E1214" t="s">
        <v>1224</v>
      </c>
      <c r="F1214" t="s"/>
      <c r="G1214" t="s"/>
      <c r="H1214" t="s"/>
      <c r="I1214" t="s"/>
      <c r="J1214" t="n">
        <v>-0.3664</v>
      </c>
      <c r="K1214" t="n">
        <v>0.17</v>
      </c>
      <c r="L1214" t="n">
        <v>0.697</v>
      </c>
      <c r="M1214" t="n">
        <v>0.133</v>
      </c>
    </row>
    <row r="1215" spans="1:13">
      <c r="A1215" s="1">
        <f>HYPERLINK("http://www.twitter.com/NathanBLawrence/status/993992933949952000", "993992933949952000")</f>
        <v/>
      </c>
      <c r="B1215" s="2" t="n">
        <v>43228.96940972222</v>
      </c>
      <c r="C1215" t="n">
        <v>1</v>
      </c>
      <c r="D1215" t="n">
        <v>1</v>
      </c>
      <c r="E1215" t="s">
        <v>1225</v>
      </c>
      <c r="F1215">
        <f>HYPERLINK("http://pbs.twimg.com/media/DctelMvV0AA3ewt.jpg", "http://pbs.twimg.com/media/DctelMvV0AA3ewt.jpg")</f>
        <v/>
      </c>
      <c r="G1215" t="s"/>
      <c r="H1215" t="s"/>
      <c r="I1215" t="s"/>
      <c r="J1215" t="n">
        <v>-0.3664</v>
      </c>
      <c r="K1215" t="n">
        <v>0.166</v>
      </c>
      <c r="L1215" t="n">
        <v>0.704</v>
      </c>
      <c r="M1215" t="n">
        <v>0.13</v>
      </c>
    </row>
    <row r="1216" spans="1:13">
      <c r="A1216" s="1">
        <f>HYPERLINK("http://www.twitter.com/NathanBLawrence/status/993986721120374784", "993986721120374784")</f>
        <v/>
      </c>
      <c r="B1216" s="2" t="n">
        <v>43228.95226851852</v>
      </c>
      <c r="C1216" t="n">
        <v>0</v>
      </c>
      <c r="D1216" t="n">
        <v>182</v>
      </c>
      <c r="E1216" t="s">
        <v>1226</v>
      </c>
      <c r="F1216" t="s"/>
      <c r="G1216" t="s"/>
      <c r="H1216" t="s"/>
      <c r="I1216" t="s"/>
      <c r="J1216" t="n">
        <v>0.2023</v>
      </c>
      <c r="K1216" t="n">
        <v>0.094</v>
      </c>
      <c r="L1216" t="n">
        <v>0.781</v>
      </c>
      <c r="M1216" t="n">
        <v>0.125</v>
      </c>
    </row>
    <row r="1217" spans="1:13">
      <c r="A1217" s="1">
        <f>HYPERLINK("http://www.twitter.com/NathanBLawrence/status/993986515591024640", "993986515591024640")</f>
        <v/>
      </c>
      <c r="B1217" s="2" t="n">
        <v>43228.95170138889</v>
      </c>
      <c r="C1217" t="n">
        <v>0</v>
      </c>
      <c r="D1217" t="n">
        <v>1983</v>
      </c>
      <c r="E1217" t="s">
        <v>1227</v>
      </c>
      <c r="F1217">
        <f>HYPERLINK("http://pbs.twimg.com/media/DcrVRQIXcAQNMc3.jpg", "http://pbs.twimg.com/media/DcrVRQIXcAQNMc3.jpg")</f>
        <v/>
      </c>
      <c r="G1217">
        <f>HYPERLINK("http://pbs.twimg.com/media/DcrVShlX0AAbxja.jpg", "http://pbs.twimg.com/media/DcrVShlX0AAbxja.jpg")</f>
        <v/>
      </c>
      <c r="H1217" t="s"/>
      <c r="I1217" t="s"/>
      <c r="J1217" t="n">
        <v>-0.6124000000000001</v>
      </c>
      <c r="K1217" t="n">
        <v>0.2</v>
      </c>
      <c r="L1217" t="n">
        <v>0.8</v>
      </c>
      <c r="M1217" t="n">
        <v>0</v>
      </c>
    </row>
    <row r="1218" spans="1:13">
      <c r="A1218" s="1">
        <f>HYPERLINK("http://www.twitter.com/NathanBLawrence/status/993985863016042496", "993985863016042496")</f>
        <v/>
      </c>
      <c r="B1218" s="2" t="n">
        <v>43228.94989583334</v>
      </c>
      <c r="C1218" t="n">
        <v>0</v>
      </c>
      <c r="D1218" t="n">
        <v>3535</v>
      </c>
      <c r="E1218" t="s">
        <v>1228</v>
      </c>
      <c r="F1218" t="s"/>
      <c r="G1218" t="s"/>
      <c r="H1218" t="s"/>
      <c r="I1218" t="s"/>
      <c r="J1218" t="n">
        <v>-0.25</v>
      </c>
      <c r="K1218" t="n">
        <v>0.091</v>
      </c>
      <c r="L1218" t="n">
        <v>0.909</v>
      </c>
      <c r="M1218" t="n">
        <v>0</v>
      </c>
    </row>
    <row r="1219" spans="1:13">
      <c r="A1219" s="1">
        <f>HYPERLINK("http://www.twitter.com/NathanBLawrence/status/993985733512736768", "993985733512736768")</f>
        <v/>
      </c>
      <c r="B1219" s="2" t="n">
        <v>43228.94953703704</v>
      </c>
      <c r="C1219" t="n">
        <v>0</v>
      </c>
      <c r="D1219" t="n">
        <v>2586</v>
      </c>
      <c r="E1219" t="s">
        <v>1229</v>
      </c>
      <c r="F1219">
        <f>HYPERLINK("http://pbs.twimg.com/media/DcrNf8jVAAAoHwQ.jpg", "http://pbs.twimg.com/media/DcrNf8jVAAAoHwQ.jpg")</f>
        <v/>
      </c>
      <c r="G1219" t="s"/>
      <c r="H1219" t="s"/>
      <c r="I1219" t="s"/>
      <c r="J1219" t="n">
        <v>0.7177</v>
      </c>
      <c r="K1219" t="n">
        <v>0.107</v>
      </c>
      <c r="L1219" t="n">
        <v>0.607</v>
      </c>
      <c r="M1219" t="n">
        <v>0.286</v>
      </c>
    </row>
    <row r="1220" spans="1:13">
      <c r="A1220" s="1">
        <f>HYPERLINK("http://www.twitter.com/NathanBLawrence/status/993984210854494208", "993984210854494208")</f>
        <v/>
      </c>
      <c r="B1220" s="2" t="n">
        <v>43228.94533564815</v>
      </c>
      <c r="C1220" t="n">
        <v>0</v>
      </c>
      <c r="D1220" t="n">
        <v>1168</v>
      </c>
      <c r="E1220" t="s">
        <v>1230</v>
      </c>
      <c r="F1220">
        <f>HYPERLINK("http://pbs.twimg.com/media/DcrPeSBVQAAH7p0.jpg", "http://pbs.twimg.com/media/DcrPeSBVQAAH7p0.jpg")</f>
        <v/>
      </c>
      <c r="G1220">
        <f>HYPERLINK("http://pbs.twimg.com/media/DcrPeR-U8AA_kyj.jpg", "http://pbs.twimg.com/media/DcrPeR-U8AA_kyj.jpg")</f>
        <v/>
      </c>
      <c r="H1220" t="s"/>
      <c r="I1220" t="s"/>
      <c r="J1220" t="n">
        <v>-0.0516</v>
      </c>
      <c r="K1220" t="n">
        <v>0.08500000000000001</v>
      </c>
      <c r="L1220" t="n">
        <v>0.915</v>
      </c>
      <c r="M1220" t="n">
        <v>0</v>
      </c>
    </row>
    <row r="1221" spans="1:13">
      <c r="A1221" s="1">
        <f>HYPERLINK("http://www.twitter.com/NathanBLawrence/status/993983942423298048", "993983942423298048")</f>
        <v/>
      </c>
      <c r="B1221" s="2" t="n">
        <v>43228.94459490741</v>
      </c>
      <c r="C1221" t="n">
        <v>0</v>
      </c>
      <c r="D1221" t="n">
        <v>902</v>
      </c>
      <c r="E1221" t="s">
        <v>1231</v>
      </c>
      <c r="F1221">
        <f>HYPERLINK("http://pbs.twimg.com/media/Dcrikr5VQAA8byw.jpg", "http://pbs.twimg.com/media/Dcrikr5VQAA8byw.jpg")</f>
        <v/>
      </c>
      <c r="G1221" t="s"/>
      <c r="H1221" t="s"/>
      <c r="I1221" t="s"/>
      <c r="J1221" t="n">
        <v>0.4926</v>
      </c>
      <c r="K1221" t="n">
        <v>0</v>
      </c>
      <c r="L1221" t="n">
        <v>0.556</v>
      </c>
      <c r="M1221" t="n">
        <v>0.444</v>
      </c>
    </row>
    <row r="1222" spans="1:13">
      <c r="A1222" s="1">
        <f>HYPERLINK("http://www.twitter.com/NathanBLawrence/status/993983832293437440", "993983832293437440")</f>
        <v/>
      </c>
      <c r="B1222" s="2" t="n">
        <v>43228.94429398148</v>
      </c>
      <c r="C1222" t="n">
        <v>0</v>
      </c>
      <c r="D1222" t="n">
        <v>624</v>
      </c>
      <c r="E1222" t="s">
        <v>1232</v>
      </c>
      <c r="F1222">
        <f>HYPERLINK("http://pbs.twimg.com/media/DcrYGqmU8AEsaCH.jpg", "http://pbs.twimg.com/media/DcrYGqmU8AEsaCH.jpg")</f>
        <v/>
      </c>
      <c r="G1222" t="s"/>
      <c r="H1222" t="s"/>
      <c r="I1222" t="s"/>
      <c r="J1222" t="n">
        <v>0</v>
      </c>
      <c r="K1222" t="n">
        <v>0</v>
      </c>
      <c r="L1222" t="n">
        <v>1</v>
      </c>
      <c r="M1222" t="n">
        <v>0</v>
      </c>
    </row>
    <row r="1223" spans="1:13">
      <c r="A1223" s="1">
        <f>HYPERLINK("http://www.twitter.com/NathanBLawrence/status/993983747274915840", "993983747274915840")</f>
        <v/>
      </c>
      <c r="B1223" s="2" t="n">
        <v>43228.9440625</v>
      </c>
      <c r="C1223" t="n">
        <v>0</v>
      </c>
      <c r="D1223" t="n">
        <v>5173</v>
      </c>
      <c r="E1223" t="s">
        <v>1233</v>
      </c>
      <c r="F1223" t="s"/>
      <c r="G1223" t="s"/>
      <c r="H1223" t="s"/>
      <c r="I1223" t="s"/>
      <c r="J1223" t="n">
        <v>-0.5266999999999999</v>
      </c>
      <c r="K1223" t="n">
        <v>0.207</v>
      </c>
      <c r="L1223" t="n">
        <v>0.793</v>
      </c>
      <c r="M1223" t="n">
        <v>0</v>
      </c>
    </row>
    <row r="1224" spans="1:13">
      <c r="A1224" s="1">
        <f>HYPERLINK("http://www.twitter.com/NathanBLawrence/status/993883723073372161", "993883723073372161")</f>
        <v/>
      </c>
      <c r="B1224" s="2" t="n">
        <v>43228.66804398148</v>
      </c>
      <c r="C1224" t="n">
        <v>0</v>
      </c>
      <c r="D1224" t="n">
        <v>0</v>
      </c>
      <c r="E1224" t="s">
        <v>1234</v>
      </c>
      <c r="F1224" t="s"/>
      <c r="G1224" t="s"/>
      <c r="H1224" t="s"/>
      <c r="I1224" t="s"/>
      <c r="J1224" t="n">
        <v>-0.9423</v>
      </c>
      <c r="K1224" t="n">
        <v>0.336</v>
      </c>
      <c r="L1224" t="n">
        <v>0.615</v>
      </c>
      <c r="M1224" t="n">
        <v>0.049</v>
      </c>
    </row>
    <row r="1225" spans="1:13">
      <c r="A1225" s="1">
        <f>HYPERLINK("http://www.twitter.com/NathanBLawrence/status/993882146434510849", "993882146434510849")</f>
        <v/>
      </c>
      <c r="B1225" s="2" t="n">
        <v>43228.66369212963</v>
      </c>
      <c r="C1225" t="n">
        <v>0</v>
      </c>
      <c r="D1225" t="n">
        <v>137</v>
      </c>
      <c r="E1225" t="s">
        <v>1235</v>
      </c>
      <c r="F1225">
        <f>HYPERLINK("http://pbs.twimg.com/media/DcmZiYnWkAAPVOj.jpg", "http://pbs.twimg.com/media/DcmZiYnWkAAPVOj.jpg")</f>
        <v/>
      </c>
      <c r="G1225">
        <f>HYPERLINK("http://pbs.twimg.com/media/DcmZjuYX0AEeSts.jpg", "http://pbs.twimg.com/media/DcmZjuYX0AEeSts.jpg")</f>
        <v/>
      </c>
      <c r="H1225">
        <f>HYPERLINK("http://pbs.twimg.com/media/DcmZ44ZWkAEcrNU.jpg", "http://pbs.twimg.com/media/DcmZ44ZWkAEcrNU.jpg")</f>
        <v/>
      </c>
      <c r="I1225">
        <f>HYPERLINK("http://pbs.twimg.com/media/DcmZ7KyWAAEoyg0.jpg", "http://pbs.twimg.com/media/DcmZ7KyWAAEoyg0.jpg")</f>
        <v/>
      </c>
      <c r="J1225" t="n">
        <v>-0.2105</v>
      </c>
      <c r="K1225" t="n">
        <v>0.108</v>
      </c>
      <c r="L1225" t="n">
        <v>0.82</v>
      </c>
      <c r="M1225" t="n">
        <v>0.07199999999999999</v>
      </c>
    </row>
    <row r="1226" spans="1:13">
      <c r="A1226" s="1">
        <f>HYPERLINK("http://www.twitter.com/NathanBLawrence/status/993881709715210240", "993881709715210240")</f>
        <v/>
      </c>
      <c r="B1226" s="2" t="n">
        <v>43228.66248842593</v>
      </c>
      <c r="C1226" t="n">
        <v>0</v>
      </c>
      <c r="D1226" t="n">
        <v>164</v>
      </c>
      <c r="E1226" t="s">
        <v>1236</v>
      </c>
      <c r="F1226">
        <f>HYPERLINK("http://pbs.twimg.com/media/DchI9VRVAAIVAyX.jpg", "http://pbs.twimg.com/media/DchI9VRVAAIVAyX.jpg")</f>
        <v/>
      </c>
      <c r="G1226" t="s"/>
      <c r="H1226" t="s"/>
      <c r="I1226" t="s"/>
      <c r="J1226" t="n">
        <v>0.7184</v>
      </c>
      <c r="K1226" t="n">
        <v>0</v>
      </c>
      <c r="L1226" t="n">
        <v>0.769</v>
      </c>
      <c r="M1226" t="n">
        <v>0.231</v>
      </c>
    </row>
    <row r="1227" spans="1:13">
      <c r="A1227" s="1">
        <f>HYPERLINK("http://www.twitter.com/NathanBLawrence/status/993881063343636485", "993881063343636485")</f>
        <v/>
      </c>
      <c r="B1227" s="2" t="n">
        <v>43228.66070601852</v>
      </c>
      <c r="C1227" t="n">
        <v>0</v>
      </c>
      <c r="D1227" t="n">
        <v>5230</v>
      </c>
      <c r="E1227" t="s">
        <v>1237</v>
      </c>
      <c r="F1227" t="s"/>
      <c r="G1227" t="s"/>
      <c r="H1227" t="s"/>
      <c r="I1227" t="s"/>
      <c r="J1227" t="n">
        <v>-0.1779</v>
      </c>
      <c r="K1227" t="n">
        <v>0.102</v>
      </c>
      <c r="L1227" t="n">
        <v>0.898</v>
      </c>
      <c r="M1227" t="n">
        <v>0</v>
      </c>
    </row>
    <row r="1228" spans="1:13">
      <c r="A1228" s="1">
        <f>HYPERLINK("http://www.twitter.com/NathanBLawrence/status/993880871852695552", "993880871852695552")</f>
        <v/>
      </c>
      <c r="B1228" s="2" t="n">
        <v>43228.66017361111</v>
      </c>
      <c r="C1228" t="n">
        <v>0</v>
      </c>
      <c r="D1228" t="n">
        <v>2975</v>
      </c>
      <c r="E1228" t="s">
        <v>1238</v>
      </c>
      <c r="F1228" t="s"/>
      <c r="G1228" t="s"/>
      <c r="H1228" t="s"/>
      <c r="I1228" t="s"/>
      <c r="J1228" t="n">
        <v>-0.8769</v>
      </c>
      <c r="K1228" t="n">
        <v>0.314</v>
      </c>
      <c r="L1228" t="n">
        <v>0.6860000000000001</v>
      </c>
      <c r="M1228" t="n">
        <v>0</v>
      </c>
    </row>
    <row r="1229" spans="1:13">
      <c r="A1229" s="1">
        <f>HYPERLINK("http://www.twitter.com/NathanBLawrence/status/993880704596393985", "993880704596393985")</f>
        <v/>
      </c>
      <c r="B1229" s="2" t="n">
        <v>43228.65972222222</v>
      </c>
      <c r="C1229" t="n">
        <v>0</v>
      </c>
      <c r="D1229" t="n">
        <v>1200</v>
      </c>
      <c r="E1229" t="s">
        <v>1239</v>
      </c>
      <c r="F1229" t="s"/>
      <c r="G1229" t="s"/>
      <c r="H1229" t="s"/>
      <c r="I1229" t="s"/>
      <c r="J1229" t="n">
        <v>-0.6486</v>
      </c>
      <c r="K1229" t="n">
        <v>0.261</v>
      </c>
      <c r="L1229" t="n">
        <v>0.739</v>
      </c>
      <c r="M1229" t="n">
        <v>0</v>
      </c>
    </row>
    <row r="1230" spans="1:13">
      <c r="A1230" s="1">
        <f>HYPERLINK("http://www.twitter.com/NathanBLawrence/status/993880632852791297", "993880632852791297")</f>
        <v/>
      </c>
      <c r="B1230" s="2" t="n">
        <v>43228.65951388889</v>
      </c>
      <c r="C1230" t="n">
        <v>0</v>
      </c>
      <c r="D1230" t="n">
        <v>685</v>
      </c>
      <c r="E1230" t="s">
        <v>1240</v>
      </c>
      <c r="F1230" t="s"/>
      <c r="G1230" t="s"/>
      <c r="H1230" t="s"/>
      <c r="I1230" t="s"/>
      <c r="J1230" t="n">
        <v>-0.3384</v>
      </c>
      <c r="K1230" t="n">
        <v>0.169</v>
      </c>
      <c r="L1230" t="n">
        <v>0.721</v>
      </c>
      <c r="M1230" t="n">
        <v>0.11</v>
      </c>
    </row>
    <row r="1231" spans="1:13">
      <c r="A1231" s="1">
        <f>HYPERLINK("http://www.twitter.com/NathanBLawrence/status/993880532768276481", "993880532768276481")</f>
        <v/>
      </c>
      <c r="B1231" s="2" t="n">
        <v>43228.65924768519</v>
      </c>
      <c r="C1231" t="n">
        <v>0</v>
      </c>
      <c r="D1231" t="n">
        <v>313</v>
      </c>
      <c r="E1231" t="s">
        <v>1241</v>
      </c>
      <c r="F1231">
        <f>HYPERLINK("https://video.twimg.com/ext_tw_video/993653792544468992/pu/vid/1280x720/IfFvKbS94n26RcBe.mp4?tag=3", "https://video.twimg.com/ext_tw_video/993653792544468992/pu/vid/1280x720/IfFvKbS94n26RcBe.mp4?tag=3")</f>
        <v/>
      </c>
      <c r="G1231" t="s"/>
      <c r="H1231" t="s"/>
      <c r="I1231" t="s"/>
      <c r="J1231" t="n">
        <v>0</v>
      </c>
      <c r="K1231" t="n">
        <v>0</v>
      </c>
      <c r="L1231" t="n">
        <v>1</v>
      </c>
      <c r="M1231" t="n">
        <v>0</v>
      </c>
    </row>
    <row r="1232" spans="1:13">
      <c r="A1232" s="1">
        <f>HYPERLINK("http://www.twitter.com/NathanBLawrence/status/993880333169770496", "993880333169770496")</f>
        <v/>
      </c>
      <c r="B1232" s="2" t="n">
        <v>43228.65869212963</v>
      </c>
      <c r="C1232" t="n">
        <v>0</v>
      </c>
      <c r="D1232" t="n">
        <v>730</v>
      </c>
      <c r="E1232" t="s">
        <v>1242</v>
      </c>
      <c r="F1232">
        <f>HYPERLINK("https://video.twimg.com/amplify_video/993637091631345665/vid/1280x720/nIUB-WxS7va_EPLk.mp4?tag=2", "https://video.twimg.com/amplify_video/993637091631345665/vid/1280x720/nIUB-WxS7va_EPLk.mp4?tag=2")</f>
        <v/>
      </c>
      <c r="G1232" t="s"/>
      <c r="H1232" t="s"/>
      <c r="I1232" t="s"/>
      <c r="J1232" t="n">
        <v>-0.7506</v>
      </c>
      <c r="K1232" t="n">
        <v>0.262</v>
      </c>
      <c r="L1232" t="n">
        <v>0.738</v>
      </c>
      <c r="M1232" t="n">
        <v>0</v>
      </c>
    </row>
    <row r="1233" spans="1:13">
      <c r="A1233" s="1">
        <f>HYPERLINK("http://www.twitter.com/NathanBLawrence/status/993878931366330373", "993878931366330373")</f>
        <v/>
      </c>
      <c r="B1233" s="2" t="n">
        <v>43228.65482638889</v>
      </c>
      <c r="C1233" t="n">
        <v>0</v>
      </c>
      <c r="D1233" t="n">
        <v>3453</v>
      </c>
      <c r="E1233" t="s">
        <v>1243</v>
      </c>
      <c r="F1233">
        <f>HYPERLINK("https://video.twimg.com/ext_tw_video/993652981433184256/pu/vid/1280x720/ha3xfqyW8lJ5XREx.mp4?tag=3", "https://video.twimg.com/ext_tw_video/993652981433184256/pu/vid/1280x720/ha3xfqyW8lJ5XREx.mp4?tag=3")</f>
        <v/>
      </c>
      <c r="G1233" t="s"/>
      <c r="H1233" t="s"/>
      <c r="I1233" t="s"/>
      <c r="J1233" t="n">
        <v>-0.2732</v>
      </c>
      <c r="K1233" t="n">
        <v>0.149</v>
      </c>
      <c r="L1233" t="n">
        <v>0.851</v>
      </c>
      <c r="M1233" t="n">
        <v>0</v>
      </c>
    </row>
    <row r="1234" spans="1:13">
      <c r="A1234" s="1">
        <f>HYPERLINK("http://www.twitter.com/NathanBLawrence/status/993875355852144640", "993875355852144640")</f>
        <v/>
      </c>
      <c r="B1234" s="2" t="n">
        <v>43228.6449537037</v>
      </c>
      <c r="C1234" t="n">
        <v>0</v>
      </c>
      <c r="D1234" t="n">
        <v>2</v>
      </c>
      <c r="E1234" t="s">
        <v>1244</v>
      </c>
      <c r="F1234">
        <f>HYPERLINK("http://pbs.twimg.com/media/DciLgmRXkAAdAnL.jpg", "http://pbs.twimg.com/media/DciLgmRXkAAdAnL.jpg")</f>
        <v/>
      </c>
      <c r="G1234" t="s"/>
      <c r="H1234" t="s"/>
      <c r="I1234" t="s"/>
      <c r="J1234" t="n">
        <v>0.1779</v>
      </c>
      <c r="K1234" t="n">
        <v>0</v>
      </c>
      <c r="L1234" t="n">
        <v>0.884</v>
      </c>
      <c r="M1234" t="n">
        <v>0.116</v>
      </c>
    </row>
    <row r="1235" spans="1:13">
      <c r="A1235" s="1">
        <f>HYPERLINK("http://www.twitter.com/NathanBLawrence/status/993873465521274885", "993873465521274885")</f>
        <v/>
      </c>
      <c r="B1235" s="2" t="n">
        <v>43228.63974537037</v>
      </c>
      <c r="C1235" t="n">
        <v>0</v>
      </c>
      <c r="D1235" t="n">
        <v>139</v>
      </c>
      <c r="E1235" t="s">
        <v>1245</v>
      </c>
      <c r="F1235" t="s"/>
      <c r="G1235" t="s"/>
      <c r="H1235" t="s"/>
      <c r="I1235" t="s"/>
      <c r="J1235" t="n">
        <v>-0.5266999999999999</v>
      </c>
      <c r="K1235" t="n">
        <v>0.174</v>
      </c>
      <c r="L1235" t="n">
        <v>0.759</v>
      </c>
      <c r="M1235" t="n">
        <v>0.067</v>
      </c>
    </row>
    <row r="1236" spans="1:13">
      <c r="A1236" s="1">
        <f>HYPERLINK("http://www.twitter.com/NathanBLawrence/status/993868910813368320", "993868910813368320")</f>
        <v/>
      </c>
      <c r="B1236" s="2" t="n">
        <v>43228.62717592593</v>
      </c>
      <c r="C1236" t="n">
        <v>0</v>
      </c>
      <c r="D1236" t="n">
        <v>24</v>
      </c>
      <c r="E1236" t="s">
        <v>1246</v>
      </c>
      <c r="F1236">
        <f>HYPERLINK("http://pbs.twimg.com/media/DcruEZmWkAElq61.jpg", "http://pbs.twimg.com/media/DcruEZmWkAElq61.jpg")</f>
        <v/>
      </c>
      <c r="G1236" t="s"/>
      <c r="H1236" t="s"/>
      <c r="I1236" t="s"/>
      <c r="J1236" t="n">
        <v>0</v>
      </c>
      <c r="K1236" t="n">
        <v>0</v>
      </c>
      <c r="L1236" t="n">
        <v>1</v>
      </c>
      <c r="M1236" t="n">
        <v>0</v>
      </c>
    </row>
    <row r="1237" spans="1:13">
      <c r="A1237" s="1">
        <f>HYPERLINK("http://www.twitter.com/NathanBLawrence/status/993633110444134401", "993633110444134401")</f>
        <v/>
      </c>
      <c r="B1237" s="2" t="n">
        <v>43227.97648148148</v>
      </c>
      <c r="C1237" t="n">
        <v>0</v>
      </c>
      <c r="D1237" t="n">
        <v>15</v>
      </c>
      <c r="E1237" t="s">
        <v>1247</v>
      </c>
      <c r="F1237">
        <f>HYPERLINK("http://pbs.twimg.com/media/DcmLm5LU8AIr2bi.jpg", "http://pbs.twimg.com/media/DcmLm5LU8AIr2bi.jpg")</f>
        <v/>
      </c>
      <c r="G1237" t="s"/>
      <c r="H1237" t="s"/>
      <c r="I1237" t="s"/>
      <c r="J1237" t="n">
        <v>0.4648</v>
      </c>
      <c r="K1237" t="n">
        <v>0</v>
      </c>
      <c r="L1237" t="n">
        <v>0.879</v>
      </c>
      <c r="M1237" t="n">
        <v>0.121</v>
      </c>
    </row>
    <row r="1238" spans="1:13">
      <c r="A1238" s="1">
        <f>HYPERLINK("http://www.twitter.com/NathanBLawrence/status/993631936219303937", "993631936219303937")</f>
        <v/>
      </c>
      <c r="B1238" s="2" t="n">
        <v>43227.97325231481</v>
      </c>
      <c r="C1238" t="n">
        <v>2</v>
      </c>
      <c r="D1238" t="n">
        <v>2</v>
      </c>
      <c r="E1238" t="s">
        <v>1248</v>
      </c>
      <c r="F1238" t="s"/>
      <c r="G1238" t="s"/>
      <c r="H1238" t="s"/>
      <c r="I1238" t="s"/>
      <c r="J1238" t="n">
        <v>-0.2732</v>
      </c>
      <c r="K1238" t="n">
        <v>0.05</v>
      </c>
      <c r="L1238" t="n">
        <v>0.95</v>
      </c>
      <c r="M1238" t="n">
        <v>0</v>
      </c>
    </row>
    <row r="1239" spans="1:13">
      <c r="A1239" s="1">
        <f>HYPERLINK("http://www.twitter.com/NathanBLawrence/status/993625413854244864", "993625413854244864")</f>
        <v/>
      </c>
      <c r="B1239" s="2" t="n">
        <v>43227.95524305556</v>
      </c>
      <c r="C1239" t="n">
        <v>0</v>
      </c>
      <c r="D1239" t="n">
        <v>20</v>
      </c>
      <c r="E1239" t="s">
        <v>1249</v>
      </c>
      <c r="F1239">
        <f>HYPERLINK("http://pbs.twimg.com/media/DcnUq9IUwAARVp5.jpg", "http://pbs.twimg.com/media/DcnUq9IUwAARVp5.jpg")</f>
        <v/>
      </c>
      <c r="G1239" t="s"/>
      <c r="H1239" t="s"/>
      <c r="I1239" t="s"/>
      <c r="J1239" t="n">
        <v>0</v>
      </c>
      <c r="K1239" t="n">
        <v>0</v>
      </c>
      <c r="L1239" t="n">
        <v>1</v>
      </c>
      <c r="M1239" t="n">
        <v>0</v>
      </c>
    </row>
    <row r="1240" spans="1:13">
      <c r="A1240" s="1">
        <f>HYPERLINK("http://www.twitter.com/NathanBLawrence/status/993624905139699712", "993624905139699712")</f>
        <v/>
      </c>
      <c r="B1240" s="2" t="n">
        <v>43227.95384259259</v>
      </c>
      <c r="C1240" t="n">
        <v>0</v>
      </c>
      <c r="D1240" t="n">
        <v>5501</v>
      </c>
      <c r="E1240" t="s">
        <v>1250</v>
      </c>
      <c r="F1240">
        <f>HYPERLINK("https://video.twimg.com/amplify_video/993555168401809410/vid/720x720/CS-FJgNvFpFSDa1d.mp4?tag=2", "https://video.twimg.com/amplify_video/993555168401809410/vid/720x720/CS-FJgNvFpFSDa1d.mp4?tag=2")</f>
        <v/>
      </c>
      <c r="G1240" t="s"/>
      <c r="H1240" t="s"/>
      <c r="I1240" t="s"/>
      <c r="J1240" t="n">
        <v>0.1531</v>
      </c>
      <c r="K1240" t="n">
        <v>0.111</v>
      </c>
      <c r="L1240" t="n">
        <v>0.754</v>
      </c>
      <c r="M1240" t="n">
        <v>0.135</v>
      </c>
    </row>
    <row r="1241" spans="1:13">
      <c r="A1241" s="1">
        <f>HYPERLINK("http://www.twitter.com/NathanBLawrence/status/993624682002661376", "993624682002661376")</f>
        <v/>
      </c>
      <c r="B1241" s="2" t="n">
        <v>43227.95322916667</v>
      </c>
      <c r="C1241" t="n">
        <v>0</v>
      </c>
      <c r="D1241" t="n">
        <v>3094</v>
      </c>
      <c r="E1241" t="s">
        <v>1251</v>
      </c>
      <c r="F1241">
        <f>HYPERLINK("https://video.twimg.com/ext_tw_video/993242430982967296/pu/vid/360x640/mYsPL4ZDWCgkR9Wk.mp4?tag=3", "https://video.twimg.com/ext_tw_video/993242430982967296/pu/vid/360x640/mYsPL4ZDWCgkR9Wk.mp4?tag=3")</f>
        <v/>
      </c>
      <c r="G1241" t="s"/>
      <c r="H1241" t="s"/>
      <c r="I1241" t="s"/>
      <c r="J1241" t="n">
        <v>0.34</v>
      </c>
      <c r="K1241" t="n">
        <v>0</v>
      </c>
      <c r="L1241" t="n">
        <v>0.888</v>
      </c>
      <c r="M1241" t="n">
        <v>0.112</v>
      </c>
    </row>
    <row r="1242" spans="1:13">
      <c r="A1242" s="1">
        <f>HYPERLINK("http://www.twitter.com/NathanBLawrence/status/993621363423248384", "993621363423248384")</f>
        <v/>
      </c>
      <c r="B1242" s="2" t="n">
        <v>43227.94407407408</v>
      </c>
      <c r="C1242" t="n">
        <v>0</v>
      </c>
      <c r="D1242" t="n">
        <v>350</v>
      </c>
      <c r="E1242" t="s">
        <v>1252</v>
      </c>
      <c r="F1242" t="s"/>
      <c r="G1242" t="s"/>
      <c r="H1242" t="s"/>
      <c r="I1242" t="s"/>
      <c r="J1242" t="n">
        <v>0</v>
      </c>
      <c r="K1242" t="n">
        <v>0</v>
      </c>
      <c r="L1242" t="n">
        <v>1</v>
      </c>
      <c r="M1242" t="n">
        <v>0</v>
      </c>
    </row>
    <row r="1243" spans="1:13">
      <c r="A1243" s="1">
        <f>HYPERLINK("http://www.twitter.com/NathanBLawrence/status/993601886371635201", "993601886371635201")</f>
        <v/>
      </c>
      <c r="B1243" s="2" t="n">
        <v>43227.89032407408</v>
      </c>
      <c r="C1243" t="n">
        <v>0</v>
      </c>
      <c r="D1243" t="n">
        <v>553</v>
      </c>
      <c r="E1243" t="s">
        <v>1253</v>
      </c>
      <c r="F1243" t="s"/>
      <c r="G1243" t="s"/>
      <c r="H1243" t="s"/>
      <c r="I1243" t="s"/>
      <c r="J1243" t="n">
        <v>-0.126</v>
      </c>
      <c r="K1243" t="n">
        <v>0.247</v>
      </c>
      <c r="L1243" t="n">
        <v>0.523</v>
      </c>
      <c r="M1243" t="n">
        <v>0.23</v>
      </c>
    </row>
    <row r="1244" spans="1:13">
      <c r="A1244" s="1">
        <f>HYPERLINK("http://www.twitter.com/NathanBLawrence/status/993601717118881794", "993601717118881794")</f>
        <v/>
      </c>
      <c r="B1244" s="2" t="n">
        <v>43227.88986111111</v>
      </c>
      <c r="C1244" t="n">
        <v>0</v>
      </c>
      <c r="D1244" t="n">
        <v>496</v>
      </c>
      <c r="E1244" t="s">
        <v>1254</v>
      </c>
      <c r="F1244">
        <f>HYPERLINK("http://pbs.twimg.com/media/DcjRgDwWsAAZjai.jpg", "http://pbs.twimg.com/media/DcjRgDwWsAAZjai.jpg")</f>
        <v/>
      </c>
      <c r="G1244" t="s"/>
      <c r="H1244" t="s"/>
      <c r="I1244" t="s"/>
      <c r="J1244" t="n">
        <v>0</v>
      </c>
      <c r="K1244" t="n">
        <v>0</v>
      </c>
      <c r="L1244" t="n">
        <v>1</v>
      </c>
      <c r="M1244" t="n">
        <v>0</v>
      </c>
    </row>
    <row r="1245" spans="1:13">
      <c r="A1245" s="1">
        <f>HYPERLINK("http://www.twitter.com/NathanBLawrence/status/993601680502640640", "993601680502640640")</f>
        <v/>
      </c>
      <c r="B1245" s="2" t="n">
        <v>43227.88975694445</v>
      </c>
      <c r="C1245" t="n">
        <v>0</v>
      </c>
      <c r="D1245" t="n">
        <v>157</v>
      </c>
      <c r="E1245" t="s">
        <v>1255</v>
      </c>
      <c r="F1245" t="s"/>
      <c r="G1245" t="s"/>
      <c r="H1245" t="s"/>
      <c r="I1245" t="s"/>
      <c r="J1245" t="n">
        <v>0</v>
      </c>
      <c r="K1245" t="n">
        <v>0</v>
      </c>
      <c r="L1245" t="n">
        <v>1</v>
      </c>
      <c r="M1245" t="n">
        <v>0</v>
      </c>
    </row>
    <row r="1246" spans="1:13">
      <c r="A1246" s="1">
        <f>HYPERLINK("http://www.twitter.com/NathanBLawrence/status/993601592061579266", "993601592061579266")</f>
        <v/>
      </c>
      <c r="B1246" s="2" t="n">
        <v>43227.88951388889</v>
      </c>
      <c r="C1246" t="n">
        <v>0</v>
      </c>
      <c r="D1246" t="n">
        <v>152</v>
      </c>
      <c r="E1246" t="s">
        <v>1256</v>
      </c>
      <c r="F1246" t="s"/>
      <c r="G1246" t="s"/>
      <c r="H1246" t="s"/>
      <c r="I1246" t="s"/>
      <c r="J1246" t="n">
        <v>0</v>
      </c>
      <c r="K1246" t="n">
        <v>0</v>
      </c>
      <c r="L1246" t="n">
        <v>1</v>
      </c>
      <c r="M1246" t="n">
        <v>0</v>
      </c>
    </row>
    <row r="1247" spans="1:13">
      <c r="A1247" s="1">
        <f>HYPERLINK("http://www.twitter.com/NathanBLawrence/status/993601510671093762", "993601510671093762")</f>
        <v/>
      </c>
      <c r="B1247" s="2" t="n">
        <v>43227.88929398148</v>
      </c>
      <c r="C1247" t="n">
        <v>0</v>
      </c>
      <c r="D1247" t="n">
        <v>72</v>
      </c>
      <c r="E1247" t="s">
        <v>1257</v>
      </c>
      <c r="F1247" t="s"/>
      <c r="G1247" t="s"/>
      <c r="H1247" t="s"/>
      <c r="I1247" t="s"/>
      <c r="J1247" t="n">
        <v>0.2577</v>
      </c>
      <c r="K1247" t="n">
        <v>0.094</v>
      </c>
      <c r="L1247" t="n">
        <v>0.768</v>
      </c>
      <c r="M1247" t="n">
        <v>0.138</v>
      </c>
    </row>
    <row r="1248" spans="1:13">
      <c r="A1248" s="1">
        <f>HYPERLINK("http://www.twitter.com/NathanBLawrence/status/993601222694367232", "993601222694367232")</f>
        <v/>
      </c>
      <c r="B1248" s="2" t="n">
        <v>43227.88849537037</v>
      </c>
      <c r="C1248" t="n">
        <v>0</v>
      </c>
      <c r="D1248" t="n">
        <v>4</v>
      </c>
      <c r="E1248" t="s">
        <v>1258</v>
      </c>
      <c r="F1248" t="s"/>
      <c r="G1248" t="s"/>
      <c r="H1248" t="s"/>
      <c r="I1248" t="s"/>
      <c r="J1248" t="n">
        <v>-0.9039</v>
      </c>
      <c r="K1248" t="n">
        <v>0.347</v>
      </c>
      <c r="L1248" t="n">
        <v>0.653</v>
      </c>
      <c r="M1248" t="n">
        <v>0</v>
      </c>
    </row>
    <row r="1249" spans="1:13">
      <c r="A1249" s="1">
        <f>HYPERLINK("http://www.twitter.com/NathanBLawrence/status/993601100870758401", "993601100870758401")</f>
        <v/>
      </c>
      <c r="B1249" s="2" t="n">
        <v>43227.88815972222</v>
      </c>
      <c r="C1249" t="n">
        <v>0</v>
      </c>
      <c r="D1249" t="n">
        <v>423</v>
      </c>
      <c r="E1249" t="s">
        <v>1259</v>
      </c>
      <c r="F1249" t="s"/>
      <c r="G1249" t="s"/>
      <c r="H1249" t="s"/>
      <c r="I1249" t="s"/>
      <c r="J1249" t="n">
        <v>0.5994</v>
      </c>
      <c r="K1249" t="n">
        <v>0</v>
      </c>
      <c r="L1249" t="n">
        <v>0.855</v>
      </c>
      <c r="M1249" t="n">
        <v>0.145</v>
      </c>
    </row>
    <row r="1250" spans="1:13">
      <c r="A1250" s="1">
        <f>HYPERLINK("http://www.twitter.com/NathanBLawrence/status/993601057099051008", "993601057099051008")</f>
        <v/>
      </c>
      <c r="B1250" s="2" t="n">
        <v>43227.88803240741</v>
      </c>
      <c r="C1250" t="n">
        <v>0</v>
      </c>
      <c r="D1250" t="n">
        <v>395</v>
      </c>
      <c r="E1250" t="s">
        <v>1260</v>
      </c>
      <c r="F1250" t="s"/>
      <c r="G1250" t="s"/>
      <c r="H1250" t="s"/>
      <c r="I1250" t="s"/>
      <c r="J1250" t="n">
        <v>-0.4767</v>
      </c>
      <c r="K1250" t="n">
        <v>0.134</v>
      </c>
      <c r="L1250" t="n">
        <v>0.866</v>
      </c>
      <c r="M1250" t="n">
        <v>0</v>
      </c>
    </row>
    <row r="1251" spans="1:13">
      <c r="A1251" s="1">
        <f>HYPERLINK("http://www.twitter.com/NathanBLawrence/status/993600938828029953", "993600938828029953")</f>
        <v/>
      </c>
      <c r="B1251" s="2" t="n">
        <v>43227.88770833334</v>
      </c>
      <c r="C1251" t="n">
        <v>0</v>
      </c>
      <c r="D1251" t="n">
        <v>2</v>
      </c>
      <c r="E1251" t="s">
        <v>1261</v>
      </c>
      <c r="F1251" t="s"/>
      <c r="G1251" t="s"/>
      <c r="H1251" t="s"/>
      <c r="I1251" t="s"/>
      <c r="J1251" t="n">
        <v>0.2732</v>
      </c>
      <c r="K1251" t="n">
        <v>0</v>
      </c>
      <c r="L1251" t="n">
        <v>0.9</v>
      </c>
      <c r="M1251" t="n">
        <v>0.1</v>
      </c>
    </row>
    <row r="1252" spans="1:13">
      <c r="A1252" s="1">
        <f>HYPERLINK("http://www.twitter.com/NathanBLawrence/status/993588040428802048", "993588040428802048")</f>
        <v/>
      </c>
      <c r="B1252" s="2" t="n">
        <v>43227.85211805555</v>
      </c>
      <c r="C1252" t="n">
        <v>0</v>
      </c>
      <c r="D1252" t="n">
        <v>2124</v>
      </c>
      <c r="E1252" t="s">
        <v>1262</v>
      </c>
      <c r="F1252" t="s"/>
      <c r="G1252" t="s"/>
      <c r="H1252" t="s"/>
      <c r="I1252" t="s"/>
      <c r="J1252" t="n">
        <v>-0.2393</v>
      </c>
      <c r="K1252" t="n">
        <v>0.161</v>
      </c>
      <c r="L1252" t="n">
        <v>0.747</v>
      </c>
      <c r="M1252" t="n">
        <v>0.092</v>
      </c>
    </row>
    <row r="1253" spans="1:13">
      <c r="A1253" s="1">
        <f>HYPERLINK("http://www.twitter.com/NathanBLawrence/status/993587980911525888", "993587980911525888")</f>
        <v/>
      </c>
      <c r="B1253" s="2" t="n">
        <v>43227.85195601852</v>
      </c>
      <c r="C1253" t="n">
        <v>0</v>
      </c>
      <c r="D1253" t="n">
        <v>157</v>
      </c>
      <c r="E1253" t="s">
        <v>1263</v>
      </c>
      <c r="F1253" t="s"/>
      <c r="G1253" t="s"/>
      <c r="H1253" t="s"/>
      <c r="I1253" t="s"/>
      <c r="J1253" t="n">
        <v>-0.1779</v>
      </c>
      <c r="K1253" t="n">
        <v>0.147</v>
      </c>
      <c r="L1253" t="n">
        <v>0.736</v>
      </c>
      <c r="M1253" t="n">
        <v>0.117</v>
      </c>
    </row>
    <row r="1254" spans="1:13">
      <c r="A1254" s="1">
        <f>HYPERLINK("http://www.twitter.com/NathanBLawrence/status/993587725621121024", "993587725621121024")</f>
        <v/>
      </c>
      <c r="B1254" s="2" t="n">
        <v>43227.85125</v>
      </c>
      <c r="C1254" t="n">
        <v>0</v>
      </c>
      <c r="D1254" t="n">
        <v>0</v>
      </c>
      <c r="E1254" t="s">
        <v>1264</v>
      </c>
      <c r="F1254" t="s"/>
      <c r="G1254" t="s"/>
      <c r="H1254" t="s"/>
      <c r="I1254" t="s"/>
      <c r="J1254" t="n">
        <v>-0.5423</v>
      </c>
      <c r="K1254" t="n">
        <v>0.127</v>
      </c>
      <c r="L1254" t="n">
        <v>0.873</v>
      </c>
      <c r="M1254" t="n">
        <v>0</v>
      </c>
    </row>
    <row r="1255" spans="1:13">
      <c r="A1255" s="1">
        <f>HYPERLINK("http://www.twitter.com/NathanBLawrence/status/993587611204648960", "993587611204648960")</f>
        <v/>
      </c>
      <c r="B1255" s="2" t="n">
        <v>43227.8509375</v>
      </c>
      <c r="C1255" t="n">
        <v>0</v>
      </c>
      <c r="D1255" t="n">
        <v>10</v>
      </c>
      <c r="E1255" t="s">
        <v>1265</v>
      </c>
      <c r="F1255" t="s"/>
      <c r="G1255" t="s"/>
      <c r="H1255" t="s"/>
      <c r="I1255" t="s"/>
      <c r="J1255" t="n">
        <v>-0.7783</v>
      </c>
      <c r="K1255" t="n">
        <v>0.317</v>
      </c>
      <c r="L1255" t="n">
        <v>0.6830000000000001</v>
      </c>
      <c r="M1255" t="n">
        <v>0</v>
      </c>
    </row>
    <row r="1256" spans="1:13">
      <c r="A1256" s="1">
        <f>HYPERLINK("http://www.twitter.com/NathanBLawrence/status/993587563087605760", "993587563087605760")</f>
        <v/>
      </c>
      <c r="B1256" s="2" t="n">
        <v>43227.85079861111</v>
      </c>
      <c r="C1256" t="n">
        <v>0</v>
      </c>
      <c r="D1256" t="n">
        <v>352</v>
      </c>
      <c r="E1256" t="s">
        <v>1266</v>
      </c>
      <c r="F1256" t="s"/>
      <c r="G1256" t="s"/>
      <c r="H1256" t="s"/>
      <c r="I1256" t="s"/>
      <c r="J1256" t="n">
        <v>0.6124000000000001</v>
      </c>
      <c r="K1256" t="n">
        <v>0.093</v>
      </c>
      <c r="L1256" t="n">
        <v>0.63</v>
      </c>
      <c r="M1256" t="n">
        <v>0.278</v>
      </c>
    </row>
    <row r="1257" spans="1:13">
      <c r="A1257" s="1">
        <f>HYPERLINK("http://www.twitter.com/NathanBLawrence/status/993587272908861440", "993587272908861440")</f>
        <v/>
      </c>
      <c r="B1257" s="2" t="n">
        <v>43227.85</v>
      </c>
      <c r="C1257" t="n">
        <v>0</v>
      </c>
      <c r="D1257" t="n">
        <v>0</v>
      </c>
      <c r="E1257" t="s">
        <v>1267</v>
      </c>
      <c r="F1257" t="s"/>
      <c r="G1257" t="s"/>
      <c r="H1257" t="s"/>
      <c r="I1257" t="s"/>
      <c r="J1257" t="n">
        <v>-0.5423</v>
      </c>
      <c r="K1257" t="n">
        <v>0.127</v>
      </c>
      <c r="L1257" t="n">
        <v>0.873</v>
      </c>
      <c r="M1257" t="n">
        <v>0</v>
      </c>
    </row>
    <row r="1258" spans="1:13">
      <c r="A1258" s="1">
        <f>HYPERLINK("http://www.twitter.com/NathanBLawrence/status/993584730174996485", "993584730174996485")</f>
        <v/>
      </c>
      <c r="B1258" s="2" t="n">
        <v>43227.84298611111</v>
      </c>
      <c r="C1258" t="n">
        <v>0</v>
      </c>
      <c r="D1258" t="n">
        <v>13</v>
      </c>
      <c r="E1258" t="s">
        <v>1268</v>
      </c>
      <c r="F1258">
        <f>HYPERLINK("http://pbs.twimg.com/media/DcnlwuYV0AE_eoy.jpg", "http://pbs.twimg.com/media/DcnlwuYV0AE_eoy.jpg")</f>
        <v/>
      </c>
      <c r="G1258" t="s"/>
      <c r="H1258" t="s"/>
      <c r="I1258" t="s"/>
      <c r="J1258" t="n">
        <v>-0.5423</v>
      </c>
      <c r="K1258" t="n">
        <v>0.156</v>
      </c>
      <c r="L1258" t="n">
        <v>0.844</v>
      </c>
      <c r="M1258" t="n">
        <v>0</v>
      </c>
    </row>
    <row r="1259" spans="1:13">
      <c r="A1259" s="1">
        <f>HYPERLINK("http://www.twitter.com/NathanBLawrence/status/993581365189726208", "993581365189726208")</f>
        <v/>
      </c>
      <c r="B1259" s="2" t="n">
        <v>43227.83369212963</v>
      </c>
      <c r="C1259" t="n">
        <v>0</v>
      </c>
      <c r="D1259" t="n">
        <v>5635</v>
      </c>
      <c r="E1259" t="s">
        <v>1269</v>
      </c>
      <c r="F1259" t="s"/>
      <c r="G1259" t="s"/>
      <c r="H1259" t="s"/>
      <c r="I1259" t="s"/>
      <c r="J1259" t="n">
        <v>0.4019</v>
      </c>
      <c r="K1259" t="n">
        <v>0</v>
      </c>
      <c r="L1259" t="n">
        <v>0.881</v>
      </c>
      <c r="M1259" t="n">
        <v>0.119</v>
      </c>
    </row>
    <row r="1260" spans="1:13">
      <c r="A1260" s="1">
        <f>HYPERLINK("http://www.twitter.com/NathanBLawrence/status/993581137346707456", "993581137346707456")</f>
        <v/>
      </c>
      <c r="B1260" s="2" t="n">
        <v>43227.83306712963</v>
      </c>
      <c r="C1260" t="n">
        <v>0</v>
      </c>
      <c r="D1260" t="n">
        <v>1313</v>
      </c>
      <c r="E1260" t="s">
        <v>1270</v>
      </c>
      <c r="F1260" t="s"/>
      <c r="G1260" t="s"/>
      <c r="H1260" t="s"/>
      <c r="I1260" t="s"/>
      <c r="J1260" t="n">
        <v>0.4389</v>
      </c>
      <c r="K1260" t="n">
        <v>0</v>
      </c>
      <c r="L1260" t="n">
        <v>0.884</v>
      </c>
      <c r="M1260" t="n">
        <v>0.116</v>
      </c>
    </row>
    <row r="1261" spans="1:13">
      <c r="A1261" s="1">
        <f>HYPERLINK("http://www.twitter.com/NathanBLawrence/status/993580996485304320", "993580996485304320")</f>
        <v/>
      </c>
      <c r="B1261" s="2" t="n">
        <v>43227.83268518518</v>
      </c>
      <c r="C1261" t="n">
        <v>0</v>
      </c>
      <c r="D1261" t="n">
        <v>4428</v>
      </c>
      <c r="E1261" t="s">
        <v>1271</v>
      </c>
      <c r="F1261" t="s"/>
      <c r="G1261" t="s"/>
      <c r="H1261" t="s"/>
      <c r="I1261" t="s"/>
      <c r="J1261" t="n">
        <v>-0.5719</v>
      </c>
      <c r="K1261" t="n">
        <v>0.281</v>
      </c>
      <c r="L1261" t="n">
        <v>0.719</v>
      </c>
      <c r="M1261" t="n">
        <v>0</v>
      </c>
    </row>
    <row r="1262" spans="1:13">
      <c r="A1262" s="1">
        <f>HYPERLINK("http://www.twitter.com/NathanBLawrence/status/993580887290793984", "993580887290793984")</f>
        <v/>
      </c>
      <c r="B1262" s="2" t="n">
        <v>43227.83238425926</v>
      </c>
      <c r="C1262" t="n">
        <v>0</v>
      </c>
      <c r="D1262" t="n">
        <v>14479</v>
      </c>
      <c r="E1262" t="s">
        <v>1272</v>
      </c>
      <c r="F1262" t="s"/>
      <c r="G1262" t="s"/>
      <c r="H1262" t="s"/>
      <c r="I1262" t="s"/>
      <c r="J1262" t="n">
        <v>0.2263</v>
      </c>
      <c r="K1262" t="n">
        <v>0</v>
      </c>
      <c r="L1262" t="n">
        <v>0.921</v>
      </c>
      <c r="M1262" t="n">
        <v>0.079</v>
      </c>
    </row>
    <row r="1263" spans="1:13">
      <c r="A1263" s="1">
        <f>HYPERLINK("http://www.twitter.com/NathanBLawrence/status/993580714393137152", "993580714393137152")</f>
        <v/>
      </c>
      <c r="B1263" s="2" t="n">
        <v>43227.83189814815</v>
      </c>
      <c r="C1263" t="n">
        <v>0</v>
      </c>
      <c r="D1263" t="n">
        <v>15192</v>
      </c>
      <c r="E1263" t="s">
        <v>1273</v>
      </c>
      <c r="F1263" t="s"/>
      <c r="G1263" t="s"/>
      <c r="H1263" t="s"/>
      <c r="I1263" t="s"/>
      <c r="J1263" t="n">
        <v>-0.296</v>
      </c>
      <c r="K1263" t="n">
        <v>0.078</v>
      </c>
      <c r="L1263" t="n">
        <v>0.922</v>
      </c>
      <c r="M1263" t="n">
        <v>0</v>
      </c>
    </row>
    <row r="1264" spans="1:13">
      <c r="A1264" s="1">
        <f>HYPERLINK("http://www.twitter.com/NathanBLawrence/status/993580621002821632", "993580621002821632")</f>
        <v/>
      </c>
      <c r="B1264" s="2" t="n">
        <v>43227.83164351852</v>
      </c>
      <c r="C1264" t="n">
        <v>0</v>
      </c>
      <c r="D1264" t="n">
        <v>8622</v>
      </c>
      <c r="E1264" t="s">
        <v>1274</v>
      </c>
      <c r="F1264">
        <f>HYPERLINK("http://pbs.twimg.com/media/DcjmA9EW0AAZsHd.jpg", "http://pbs.twimg.com/media/DcjmA9EW0AAZsHd.jpg")</f>
        <v/>
      </c>
      <c r="G1264" t="s"/>
      <c r="H1264" t="s"/>
      <c r="I1264" t="s"/>
      <c r="J1264" t="n">
        <v>0.802</v>
      </c>
      <c r="K1264" t="n">
        <v>0</v>
      </c>
      <c r="L1264" t="n">
        <v>0.735</v>
      </c>
      <c r="M1264" t="n">
        <v>0.265</v>
      </c>
    </row>
    <row r="1265" spans="1:13">
      <c r="A1265" s="1">
        <f>HYPERLINK("http://www.twitter.com/NathanBLawrence/status/993580529923510278", "993580529923510278")</f>
        <v/>
      </c>
      <c r="B1265" s="2" t="n">
        <v>43227.83138888889</v>
      </c>
      <c r="C1265" t="n">
        <v>0</v>
      </c>
      <c r="D1265" t="n">
        <v>1272</v>
      </c>
      <c r="E1265" t="s">
        <v>1275</v>
      </c>
      <c r="F1265" t="s"/>
      <c r="G1265" t="s"/>
      <c r="H1265" t="s"/>
      <c r="I1265" t="s"/>
      <c r="J1265" t="n">
        <v>0.6597</v>
      </c>
      <c r="K1265" t="n">
        <v>0</v>
      </c>
      <c r="L1265" t="n">
        <v>0.779</v>
      </c>
      <c r="M1265" t="n">
        <v>0.221</v>
      </c>
    </row>
    <row r="1266" spans="1:13">
      <c r="A1266" s="1">
        <f>HYPERLINK("http://www.twitter.com/NathanBLawrence/status/993580379960311808", "993580379960311808")</f>
        <v/>
      </c>
      <c r="B1266" s="2" t="n">
        <v>43227.8309837963</v>
      </c>
      <c r="C1266" t="n">
        <v>0</v>
      </c>
      <c r="D1266" t="n">
        <v>27333</v>
      </c>
      <c r="E1266" t="s">
        <v>1276</v>
      </c>
      <c r="F1266" t="s"/>
      <c r="G1266" t="s"/>
      <c r="H1266" t="s"/>
      <c r="I1266" t="s"/>
      <c r="J1266" t="n">
        <v>0</v>
      </c>
      <c r="K1266" t="n">
        <v>0</v>
      </c>
      <c r="L1266" t="n">
        <v>1</v>
      </c>
      <c r="M1266" t="n">
        <v>0</v>
      </c>
    </row>
    <row r="1267" spans="1:13">
      <c r="A1267" s="1">
        <f>HYPERLINK("http://www.twitter.com/NathanBLawrence/status/993580311966502913", "993580311966502913")</f>
        <v/>
      </c>
      <c r="B1267" s="2" t="n">
        <v>43227.83078703703</v>
      </c>
      <c r="C1267" t="n">
        <v>0</v>
      </c>
      <c r="D1267" t="n">
        <v>13880</v>
      </c>
      <c r="E1267" t="s">
        <v>1277</v>
      </c>
      <c r="F1267" t="s"/>
      <c r="G1267" t="s"/>
      <c r="H1267" t="s"/>
      <c r="I1267" t="s"/>
      <c r="J1267" t="n">
        <v>-0.5255</v>
      </c>
      <c r="K1267" t="n">
        <v>0.159</v>
      </c>
      <c r="L1267" t="n">
        <v>0.841</v>
      </c>
      <c r="M1267" t="n">
        <v>0</v>
      </c>
    </row>
    <row r="1268" spans="1:13">
      <c r="A1268" s="1">
        <f>HYPERLINK("http://www.twitter.com/NathanBLawrence/status/993580233541304320", "993580233541304320")</f>
        <v/>
      </c>
      <c r="B1268" s="2" t="n">
        <v>43227.8305787037</v>
      </c>
      <c r="C1268" t="n">
        <v>0</v>
      </c>
      <c r="D1268" t="n">
        <v>33000</v>
      </c>
      <c r="E1268" t="s">
        <v>1278</v>
      </c>
      <c r="F1268" t="s"/>
      <c r="G1268" t="s"/>
      <c r="H1268" t="s"/>
      <c r="I1268" t="s"/>
      <c r="J1268" t="n">
        <v>-0.6361</v>
      </c>
      <c r="K1268" t="n">
        <v>0.252</v>
      </c>
      <c r="L1268" t="n">
        <v>0.648</v>
      </c>
      <c r="M1268" t="n">
        <v>0.101</v>
      </c>
    </row>
    <row r="1269" spans="1:13">
      <c r="A1269" s="1">
        <f>HYPERLINK("http://www.twitter.com/NathanBLawrence/status/993580164633186304", "993580164633186304")</f>
        <v/>
      </c>
      <c r="B1269" s="2" t="n">
        <v>43227.83038194444</v>
      </c>
      <c r="C1269" t="n">
        <v>0</v>
      </c>
      <c r="D1269" t="n">
        <v>23354</v>
      </c>
      <c r="E1269" t="s">
        <v>1279</v>
      </c>
      <c r="F1269" t="s"/>
      <c r="G1269" t="s"/>
      <c r="H1269" t="s"/>
      <c r="I1269" t="s"/>
      <c r="J1269" t="n">
        <v>-0.3612</v>
      </c>
      <c r="K1269" t="n">
        <v>0.098</v>
      </c>
      <c r="L1269" t="n">
        <v>0.902</v>
      </c>
      <c r="M1269" t="n">
        <v>0</v>
      </c>
    </row>
    <row r="1270" spans="1:13">
      <c r="A1270" s="1">
        <f>HYPERLINK("http://www.twitter.com/NathanBLawrence/status/993580061231009792", "993580061231009792")</f>
        <v/>
      </c>
      <c r="B1270" s="2" t="n">
        <v>43227.83010416666</v>
      </c>
      <c r="C1270" t="n">
        <v>0</v>
      </c>
      <c r="D1270" t="n">
        <v>21662</v>
      </c>
      <c r="E1270" t="s">
        <v>1280</v>
      </c>
      <c r="F1270" t="s"/>
      <c r="G1270" t="s"/>
      <c r="H1270" t="s"/>
      <c r="I1270" t="s"/>
      <c r="J1270" t="n">
        <v>0.5859</v>
      </c>
      <c r="K1270" t="n">
        <v>0</v>
      </c>
      <c r="L1270" t="n">
        <v>0.868</v>
      </c>
      <c r="M1270" t="n">
        <v>0.132</v>
      </c>
    </row>
    <row r="1271" spans="1:13">
      <c r="A1271" s="1">
        <f>HYPERLINK("http://www.twitter.com/NathanBLawrence/status/993579912568045568", "993579912568045568")</f>
        <v/>
      </c>
      <c r="B1271" s="2" t="n">
        <v>43227.8296875</v>
      </c>
      <c r="C1271" t="n">
        <v>0</v>
      </c>
      <c r="D1271" t="n">
        <v>11866</v>
      </c>
      <c r="E1271" t="s">
        <v>1281</v>
      </c>
      <c r="F1271" t="s"/>
      <c r="G1271" t="s"/>
      <c r="H1271" t="s"/>
      <c r="I1271" t="s"/>
      <c r="J1271" t="n">
        <v>0.9402</v>
      </c>
      <c r="K1271" t="n">
        <v>0</v>
      </c>
      <c r="L1271" t="n">
        <v>0.52</v>
      </c>
      <c r="M1271" t="n">
        <v>0.48</v>
      </c>
    </row>
    <row r="1272" spans="1:13">
      <c r="A1272" s="1">
        <f>HYPERLINK("http://www.twitter.com/NathanBLawrence/status/993579870063022086", "993579870063022086")</f>
        <v/>
      </c>
      <c r="B1272" s="2" t="n">
        <v>43227.82957175926</v>
      </c>
      <c r="C1272" t="n">
        <v>0</v>
      </c>
      <c r="D1272" t="n">
        <v>12414</v>
      </c>
      <c r="E1272" t="s">
        <v>1282</v>
      </c>
      <c r="F1272" t="s"/>
      <c r="G1272" t="s"/>
      <c r="H1272" t="s"/>
      <c r="I1272" t="s"/>
      <c r="J1272" t="n">
        <v>0.8481</v>
      </c>
      <c r="K1272" t="n">
        <v>0</v>
      </c>
      <c r="L1272" t="n">
        <v>0.728</v>
      </c>
      <c r="M1272" t="n">
        <v>0.272</v>
      </c>
    </row>
    <row r="1273" spans="1:13">
      <c r="A1273" s="1">
        <f>HYPERLINK("http://www.twitter.com/NathanBLawrence/status/993579774344740864", "993579774344740864")</f>
        <v/>
      </c>
      <c r="B1273" s="2" t="n">
        <v>43227.82930555556</v>
      </c>
      <c r="C1273" t="n">
        <v>0</v>
      </c>
      <c r="D1273" t="n">
        <v>29956</v>
      </c>
      <c r="E1273" t="s">
        <v>1283</v>
      </c>
      <c r="F1273" t="s"/>
      <c r="G1273" t="s"/>
      <c r="H1273" t="s"/>
      <c r="I1273" t="s"/>
      <c r="J1273" t="n">
        <v>-0.7003</v>
      </c>
      <c r="K1273" t="n">
        <v>0.201</v>
      </c>
      <c r="L1273" t="n">
        <v>0.799</v>
      </c>
      <c r="M1273" t="n">
        <v>0</v>
      </c>
    </row>
    <row r="1274" spans="1:13">
      <c r="A1274" s="1">
        <f>HYPERLINK("http://www.twitter.com/NathanBLawrence/status/993579585483689986", "993579585483689986")</f>
        <v/>
      </c>
      <c r="B1274" s="2" t="n">
        <v>43227.82878472222</v>
      </c>
      <c r="C1274" t="n">
        <v>0</v>
      </c>
      <c r="D1274" t="n">
        <v>21559</v>
      </c>
      <c r="E1274" t="s">
        <v>1284</v>
      </c>
      <c r="F1274" t="s"/>
      <c r="G1274" t="s"/>
      <c r="H1274" t="s"/>
      <c r="I1274" t="s"/>
      <c r="J1274" t="n">
        <v>-0.4939</v>
      </c>
      <c r="K1274" t="n">
        <v>0.299</v>
      </c>
      <c r="L1274" t="n">
        <v>0.574</v>
      </c>
      <c r="M1274" t="n">
        <v>0.127</v>
      </c>
    </row>
    <row r="1275" spans="1:13">
      <c r="A1275" s="1">
        <f>HYPERLINK("http://www.twitter.com/NathanBLawrence/status/993579453686034432", "993579453686034432")</f>
        <v/>
      </c>
      <c r="B1275" s="2" t="n">
        <v>43227.82842592592</v>
      </c>
      <c r="C1275" t="n">
        <v>0</v>
      </c>
      <c r="D1275" t="n">
        <v>24873</v>
      </c>
      <c r="E1275" t="s">
        <v>1285</v>
      </c>
      <c r="F1275" t="s"/>
      <c r="G1275" t="s"/>
      <c r="H1275" t="s"/>
      <c r="I1275" t="s"/>
      <c r="J1275" t="n">
        <v>0.1263</v>
      </c>
      <c r="K1275" t="n">
        <v>0.148</v>
      </c>
      <c r="L1275" t="n">
        <v>0.723</v>
      </c>
      <c r="M1275" t="n">
        <v>0.129</v>
      </c>
    </row>
    <row r="1276" spans="1:13">
      <c r="A1276" s="1">
        <f>HYPERLINK("http://www.twitter.com/NathanBLawrence/status/993579356168507393", "993579356168507393")</f>
        <v/>
      </c>
      <c r="B1276" s="2" t="n">
        <v>43227.82814814815</v>
      </c>
      <c r="C1276" t="n">
        <v>0</v>
      </c>
      <c r="D1276" t="n">
        <v>14960</v>
      </c>
      <c r="E1276" t="s">
        <v>1286</v>
      </c>
      <c r="F1276" t="s"/>
      <c r="G1276" t="s"/>
      <c r="H1276" t="s"/>
      <c r="I1276" t="s"/>
      <c r="J1276" t="n">
        <v>0.888</v>
      </c>
      <c r="K1276" t="n">
        <v>0</v>
      </c>
      <c r="L1276" t="n">
        <v>0.632</v>
      </c>
      <c r="M1276" t="n">
        <v>0.368</v>
      </c>
    </row>
    <row r="1277" spans="1:13">
      <c r="A1277" s="1">
        <f>HYPERLINK("http://www.twitter.com/NathanBLawrence/status/993579207891472387", "993579207891472387")</f>
        <v/>
      </c>
      <c r="B1277" s="2" t="n">
        <v>43227.82774305555</v>
      </c>
      <c r="C1277" t="n">
        <v>0</v>
      </c>
      <c r="D1277" t="n">
        <v>16106</v>
      </c>
      <c r="E1277" t="s">
        <v>1287</v>
      </c>
      <c r="F1277" t="s"/>
      <c r="G1277" t="s"/>
      <c r="H1277" t="s"/>
      <c r="I1277" t="s"/>
      <c r="J1277" t="n">
        <v>0.4199</v>
      </c>
      <c r="K1277" t="n">
        <v>0</v>
      </c>
      <c r="L1277" t="n">
        <v>0.6820000000000001</v>
      </c>
      <c r="M1277" t="n">
        <v>0.318</v>
      </c>
    </row>
    <row r="1278" spans="1:13">
      <c r="A1278" s="1">
        <f>HYPERLINK("http://www.twitter.com/NathanBLawrence/status/993579056527388672", "993579056527388672")</f>
        <v/>
      </c>
      <c r="B1278" s="2" t="n">
        <v>43227.82732638889</v>
      </c>
      <c r="C1278" t="n">
        <v>0</v>
      </c>
      <c r="D1278" t="n">
        <v>1157</v>
      </c>
      <c r="E1278" t="s">
        <v>1288</v>
      </c>
      <c r="F1278">
        <f>HYPERLINK("http://pbs.twimg.com/media/DcnLruCUwAQt_EB.jpg", "http://pbs.twimg.com/media/DcnLruCUwAQt_EB.jpg")</f>
        <v/>
      </c>
      <c r="G1278" t="s"/>
      <c r="H1278" t="s"/>
      <c r="I1278" t="s"/>
      <c r="J1278" t="n">
        <v>0.1759</v>
      </c>
      <c r="K1278" t="n">
        <v>0.266</v>
      </c>
      <c r="L1278" t="n">
        <v>0.38</v>
      </c>
      <c r="M1278" t="n">
        <v>0.354</v>
      </c>
    </row>
    <row r="1279" spans="1:13">
      <c r="A1279" s="1">
        <f>HYPERLINK("http://www.twitter.com/NathanBLawrence/status/993578616507150336", "993578616507150336")</f>
        <v/>
      </c>
      <c r="B1279" s="2" t="n">
        <v>43227.82611111111</v>
      </c>
      <c r="C1279" t="n">
        <v>0</v>
      </c>
      <c r="D1279" t="n">
        <v>17</v>
      </c>
      <c r="E1279" t="s">
        <v>1289</v>
      </c>
      <c r="F1279">
        <f>HYPERLINK("http://pbs.twimg.com/media/Dcniv1-XcAIiCa-.jpg", "http://pbs.twimg.com/media/Dcniv1-XcAIiCa-.jpg")</f>
        <v/>
      </c>
      <c r="G1279" t="s"/>
      <c r="H1279" t="s"/>
      <c r="I1279" t="s"/>
      <c r="J1279" t="n">
        <v>0.6909</v>
      </c>
      <c r="K1279" t="n">
        <v>0</v>
      </c>
      <c r="L1279" t="n">
        <v>0.783</v>
      </c>
      <c r="M1279" t="n">
        <v>0.217</v>
      </c>
    </row>
    <row r="1280" spans="1:13">
      <c r="A1280" s="1">
        <f>HYPERLINK("http://www.twitter.com/NathanBLawrence/status/993375385306841088", "993375385306841088")</f>
        <v/>
      </c>
      <c r="B1280" s="2" t="n">
        <v>43227.26530092592</v>
      </c>
      <c r="C1280" t="n">
        <v>0</v>
      </c>
      <c r="D1280" t="n">
        <v>2</v>
      </c>
      <c r="E1280" t="s">
        <v>1290</v>
      </c>
      <c r="F1280" t="s"/>
      <c r="G1280" t="s"/>
      <c r="H1280" t="s"/>
      <c r="I1280" t="s"/>
      <c r="J1280" t="n">
        <v>0.5901999999999999</v>
      </c>
      <c r="K1280" t="n">
        <v>0</v>
      </c>
      <c r="L1280" t="n">
        <v>0.82</v>
      </c>
      <c r="M1280" t="n">
        <v>0.18</v>
      </c>
    </row>
    <row r="1281" spans="1:13">
      <c r="A1281" s="1">
        <f>HYPERLINK("http://www.twitter.com/NathanBLawrence/status/993374647742681093", "993374647742681093")</f>
        <v/>
      </c>
      <c r="B1281" s="2" t="n">
        <v>43227.26326388889</v>
      </c>
      <c r="C1281" t="n">
        <v>0</v>
      </c>
      <c r="D1281" t="n">
        <v>3</v>
      </c>
      <c r="E1281" t="s">
        <v>1291</v>
      </c>
      <c r="F1281" t="s"/>
      <c r="G1281" t="s"/>
      <c r="H1281" t="s"/>
      <c r="I1281" t="s"/>
      <c r="J1281" t="n">
        <v>-0.296</v>
      </c>
      <c r="K1281" t="n">
        <v>0.115</v>
      </c>
      <c r="L1281" t="n">
        <v>0.885</v>
      </c>
      <c r="M1281" t="n">
        <v>0</v>
      </c>
    </row>
    <row r="1282" spans="1:13">
      <c r="A1282" s="1">
        <f>HYPERLINK("http://www.twitter.com/NathanBLawrence/status/993374028059500544", "993374028059500544")</f>
        <v/>
      </c>
      <c r="B1282" s="2" t="n">
        <v>43227.26155092593</v>
      </c>
      <c r="C1282" t="n">
        <v>1</v>
      </c>
      <c r="D1282" t="n">
        <v>1</v>
      </c>
      <c r="E1282" t="s">
        <v>1292</v>
      </c>
      <c r="F1282" t="s"/>
      <c r="G1282" t="s"/>
      <c r="H1282" t="s"/>
      <c r="I1282" t="s"/>
      <c r="J1282" t="n">
        <v>0.6249</v>
      </c>
      <c r="K1282" t="n">
        <v>0</v>
      </c>
      <c r="L1282" t="n">
        <v>0.894</v>
      </c>
      <c r="M1282" t="n">
        <v>0.106</v>
      </c>
    </row>
    <row r="1283" spans="1:13">
      <c r="A1283" s="1">
        <f>HYPERLINK("http://www.twitter.com/NathanBLawrence/status/993373360468869121", "993373360468869121")</f>
        <v/>
      </c>
      <c r="B1283" s="2" t="n">
        <v>43227.25971064815</v>
      </c>
      <c r="C1283" t="n">
        <v>0</v>
      </c>
      <c r="D1283" t="n">
        <v>29</v>
      </c>
      <c r="E1283" t="s">
        <v>1293</v>
      </c>
      <c r="F1283" t="s"/>
      <c r="G1283" t="s"/>
      <c r="H1283" t="s"/>
      <c r="I1283" t="s"/>
      <c r="J1283" t="n">
        <v>0.2023</v>
      </c>
      <c r="K1283" t="n">
        <v>0.08400000000000001</v>
      </c>
      <c r="L1283" t="n">
        <v>0.796</v>
      </c>
      <c r="M1283" t="n">
        <v>0.119</v>
      </c>
    </row>
    <row r="1284" spans="1:13">
      <c r="A1284" s="1">
        <f>HYPERLINK("http://www.twitter.com/NathanBLawrence/status/993373055521980416", "993373055521980416")</f>
        <v/>
      </c>
      <c r="B1284" s="2" t="n">
        <v>43227.25887731482</v>
      </c>
      <c r="C1284" t="n">
        <v>0</v>
      </c>
      <c r="D1284" t="n">
        <v>0</v>
      </c>
      <c r="E1284" t="s">
        <v>1294</v>
      </c>
      <c r="F1284" t="s"/>
      <c r="G1284" t="s"/>
      <c r="H1284" t="s"/>
      <c r="I1284" t="s"/>
      <c r="J1284" t="n">
        <v>0</v>
      </c>
      <c r="K1284" t="n">
        <v>0</v>
      </c>
      <c r="L1284" t="n">
        <v>1</v>
      </c>
      <c r="M1284" t="n">
        <v>0</v>
      </c>
    </row>
    <row r="1285" spans="1:13">
      <c r="A1285" s="1">
        <f>HYPERLINK("http://www.twitter.com/NathanBLawrence/status/993372825431040000", "993372825431040000")</f>
        <v/>
      </c>
      <c r="B1285" s="2" t="n">
        <v>43227.25824074074</v>
      </c>
      <c r="C1285" t="n">
        <v>0</v>
      </c>
      <c r="D1285" t="n">
        <v>1</v>
      </c>
      <c r="E1285" t="s">
        <v>1295</v>
      </c>
      <c r="F1285" t="s"/>
      <c r="G1285" t="s"/>
      <c r="H1285" t="s"/>
      <c r="I1285" t="s"/>
      <c r="J1285" t="n">
        <v>0.5574</v>
      </c>
      <c r="K1285" t="n">
        <v>0</v>
      </c>
      <c r="L1285" t="n">
        <v>0.8159999999999999</v>
      </c>
      <c r="M1285" t="n">
        <v>0.184</v>
      </c>
    </row>
    <row r="1286" spans="1:13">
      <c r="A1286" s="1">
        <f>HYPERLINK("http://www.twitter.com/NathanBLawrence/status/993369593367351296", "993369593367351296")</f>
        <v/>
      </c>
      <c r="B1286" s="2" t="n">
        <v>43227.24931712963</v>
      </c>
      <c r="C1286" t="n">
        <v>0</v>
      </c>
      <c r="D1286" t="n">
        <v>3</v>
      </c>
      <c r="E1286" t="s">
        <v>1296</v>
      </c>
      <c r="F1286" t="s"/>
      <c r="G1286" t="s"/>
      <c r="H1286" t="s"/>
      <c r="I1286" t="s"/>
      <c r="J1286" t="n">
        <v>0.3527</v>
      </c>
      <c r="K1286" t="n">
        <v>0</v>
      </c>
      <c r="L1286" t="n">
        <v>0.89</v>
      </c>
      <c r="M1286" t="n">
        <v>0.11</v>
      </c>
    </row>
    <row r="1287" spans="1:13">
      <c r="A1287" s="1">
        <f>HYPERLINK("http://www.twitter.com/NathanBLawrence/status/993369469962436613", "993369469962436613")</f>
        <v/>
      </c>
      <c r="B1287" s="2" t="n">
        <v>43227.24898148148</v>
      </c>
      <c r="C1287" t="n">
        <v>1</v>
      </c>
      <c r="D1287" t="n">
        <v>1</v>
      </c>
      <c r="E1287" t="s">
        <v>1297</v>
      </c>
      <c r="F1287" t="s"/>
      <c r="G1287" t="s"/>
      <c r="H1287" t="s"/>
      <c r="I1287" t="s"/>
      <c r="J1287" t="n">
        <v>-0.5423</v>
      </c>
      <c r="K1287" t="n">
        <v>0.333</v>
      </c>
      <c r="L1287" t="n">
        <v>0.667</v>
      </c>
      <c r="M1287" t="n">
        <v>0</v>
      </c>
    </row>
    <row r="1288" spans="1:13">
      <c r="A1288" s="1">
        <f>HYPERLINK("http://www.twitter.com/NathanBLawrence/status/993368743282524161", "993368743282524161")</f>
        <v/>
      </c>
      <c r="B1288" s="2" t="n">
        <v>43227.24696759259</v>
      </c>
      <c r="C1288" t="n">
        <v>0</v>
      </c>
      <c r="D1288" t="n">
        <v>2</v>
      </c>
      <c r="E1288" t="s">
        <v>1298</v>
      </c>
      <c r="F1288">
        <f>HYPERLINK("http://pbs.twimg.com/media/DcjhqqZU0AAWywk.jpg", "http://pbs.twimg.com/media/DcjhqqZU0AAWywk.jpg")</f>
        <v/>
      </c>
      <c r="G1288" t="s"/>
      <c r="H1288" t="s"/>
      <c r="I1288" t="s"/>
      <c r="J1288" t="n">
        <v>0.4404</v>
      </c>
      <c r="K1288" t="n">
        <v>0</v>
      </c>
      <c r="L1288" t="n">
        <v>0.873</v>
      </c>
      <c r="M1288" t="n">
        <v>0.127</v>
      </c>
    </row>
    <row r="1289" spans="1:13">
      <c r="A1289" s="1">
        <f>HYPERLINK("http://www.twitter.com/NathanBLawrence/status/993368462775865344", "993368462775865344")</f>
        <v/>
      </c>
      <c r="B1289" s="2" t="n">
        <v>43227.2462037037</v>
      </c>
      <c r="C1289" t="n">
        <v>0</v>
      </c>
      <c r="D1289" t="n">
        <v>3</v>
      </c>
      <c r="E1289" t="s">
        <v>1299</v>
      </c>
      <c r="F1289" t="s"/>
      <c r="G1289" t="s"/>
      <c r="H1289" t="s"/>
      <c r="I1289" t="s"/>
      <c r="J1289" t="n">
        <v>0</v>
      </c>
      <c r="K1289" t="n">
        <v>0</v>
      </c>
      <c r="L1289" t="n">
        <v>1</v>
      </c>
      <c r="M1289" t="n">
        <v>0</v>
      </c>
    </row>
    <row r="1290" spans="1:13">
      <c r="A1290" s="1">
        <f>HYPERLINK("http://www.twitter.com/NathanBLawrence/status/993366328470855680", "993366328470855680")</f>
        <v/>
      </c>
      <c r="B1290" s="2" t="n">
        <v>43227.2403125</v>
      </c>
      <c r="C1290" t="n">
        <v>0</v>
      </c>
      <c r="D1290" t="n">
        <v>7</v>
      </c>
      <c r="E1290" t="s">
        <v>1300</v>
      </c>
      <c r="F1290" t="s"/>
      <c r="G1290" t="s"/>
      <c r="H1290" t="s"/>
      <c r="I1290" t="s"/>
      <c r="J1290" t="n">
        <v>0</v>
      </c>
      <c r="K1290" t="n">
        <v>0</v>
      </c>
      <c r="L1290" t="n">
        <v>1</v>
      </c>
      <c r="M1290" t="n">
        <v>0</v>
      </c>
    </row>
    <row r="1291" spans="1:13">
      <c r="A1291" s="1">
        <f>HYPERLINK("http://www.twitter.com/NathanBLawrence/status/993366135713054721", "993366135713054721")</f>
        <v/>
      </c>
      <c r="B1291" s="2" t="n">
        <v>43227.23978009259</v>
      </c>
      <c r="C1291" t="n">
        <v>0</v>
      </c>
      <c r="D1291" t="n">
        <v>2</v>
      </c>
      <c r="E1291" t="s">
        <v>1301</v>
      </c>
      <c r="F1291" t="s"/>
      <c r="G1291" t="s"/>
      <c r="H1291" t="s"/>
      <c r="I1291" t="s"/>
      <c r="J1291" t="n">
        <v>0</v>
      </c>
      <c r="K1291" t="n">
        <v>0</v>
      </c>
      <c r="L1291" t="n">
        <v>1</v>
      </c>
      <c r="M1291" t="n">
        <v>0</v>
      </c>
    </row>
    <row r="1292" spans="1:13">
      <c r="A1292" s="1">
        <f>HYPERLINK("http://www.twitter.com/NathanBLawrence/status/993366036626919424", "993366036626919424")</f>
        <v/>
      </c>
      <c r="B1292" s="2" t="n">
        <v>43227.23950231481</v>
      </c>
      <c r="C1292" t="n">
        <v>0</v>
      </c>
      <c r="D1292" t="n">
        <v>4</v>
      </c>
      <c r="E1292" t="s">
        <v>1302</v>
      </c>
      <c r="F1292" t="s"/>
      <c r="G1292" t="s"/>
      <c r="H1292" t="s"/>
      <c r="I1292" t="s"/>
      <c r="J1292" t="n">
        <v>-0.4404</v>
      </c>
      <c r="K1292" t="n">
        <v>0.116</v>
      </c>
      <c r="L1292" t="n">
        <v>0.884</v>
      </c>
      <c r="M1292" t="n">
        <v>0</v>
      </c>
    </row>
    <row r="1293" spans="1:13">
      <c r="A1293" s="1">
        <f>HYPERLINK("http://www.twitter.com/NathanBLawrence/status/993363977668247552", "993363977668247552")</f>
        <v/>
      </c>
      <c r="B1293" s="2" t="n">
        <v>43227.23381944445</v>
      </c>
      <c r="C1293" t="n">
        <v>0</v>
      </c>
      <c r="D1293" t="n">
        <v>2</v>
      </c>
      <c r="E1293" t="s">
        <v>1303</v>
      </c>
      <c r="F1293" t="s"/>
      <c r="G1293" t="s"/>
      <c r="H1293" t="s"/>
      <c r="I1293" t="s"/>
      <c r="J1293" t="n">
        <v>0</v>
      </c>
      <c r="K1293" t="n">
        <v>0</v>
      </c>
      <c r="L1293" t="n">
        <v>1</v>
      </c>
      <c r="M1293" t="n">
        <v>0</v>
      </c>
    </row>
    <row r="1294" spans="1:13">
      <c r="A1294" s="1">
        <f>HYPERLINK("http://www.twitter.com/NathanBLawrence/status/993363828921450496", "993363828921450496")</f>
        <v/>
      </c>
      <c r="B1294" s="2" t="n">
        <v>43227.23341435185</v>
      </c>
      <c r="C1294" t="n">
        <v>0</v>
      </c>
      <c r="D1294" t="n">
        <v>0</v>
      </c>
      <c r="E1294" t="s">
        <v>1304</v>
      </c>
      <c r="F1294" t="s"/>
      <c r="G1294" t="s"/>
      <c r="H1294" t="s"/>
      <c r="I1294" t="s"/>
      <c r="J1294" t="n">
        <v>0.3612</v>
      </c>
      <c r="K1294" t="n">
        <v>0</v>
      </c>
      <c r="L1294" t="n">
        <v>0.944</v>
      </c>
      <c r="M1294" t="n">
        <v>0.056</v>
      </c>
    </row>
    <row r="1295" spans="1:13">
      <c r="A1295" s="1">
        <f>HYPERLINK("http://www.twitter.com/NathanBLawrence/status/993363539082395649", "993363539082395649")</f>
        <v/>
      </c>
      <c r="B1295" s="2" t="n">
        <v>43227.23261574074</v>
      </c>
      <c r="C1295" t="n">
        <v>0</v>
      </c>
      <c r="D1295" t="n">
        <v>3</v>
      </c>
      <c r="E1295" t="s">
        <v>1305</v>
      </c>
      <c r="F1295" t="s"/>
      <c r="G1295" t="s"/>
      <c r="H1295" t="s"/>
      <c r="I1295" t="s"/>
      <c r="J1295" t="n">
        <v>0.4019</v>
      </c>
      <c r="K1295" t="n">
        <v>0</v>
      </c>
      <c r="L1295" t="n">
        <v>0.803</v>
      </c>
      <c r="M1295" t="n">
        <v>0.197</v>
      </c>
    </row>
    <row r="1296" spans="1:13">
      <c r="A1296" s="1">
        <f>HYPERLINK("http://www.twitter.com/NathanBLawrence/status/993363464293765120", "993363464293765120")</f>
        <v/>
      </c>
      <c r="B1296" s="2" t="n">
        <v>43227.23240740741</v>
      </c>
      <c r="C1296" t="n">
        <v>0</v>
      </c>
      <c r="D1296" t="n">
        <v>0</v>
      </c>
      <c r="E1296" t="s">
        <v>1306</v>
      </c>
      <c r="F1296" t="s"/>
      <c r="G1296" t="s"/>
      <c r="H1296" t="s"/>
      <c r="I1296" t="s"/>
      <c r="J1296" t="n">
        <v>-0.9693000000000001</v>
      </c>
      <c r="K1296" t="n">
        <v>0.403</v>
      </c>
      <c r="L1296" t="n">
        <v>0.544</v>
      </c>
      <c r="M1296" t="n">
        <v>0.053</v>
      </c>
    </row>
    <row r="1297" spans="1:13">
      <c r="A1297" s="1">
        <f>HYPERLINK("http://www.twitter.com/NathanBLawrence/status/993363120239165440", "993363120239165440")</f>
        <v/>
      </c>
      <c r="B1297" s="2" t="n">
        <v>43227.23145833334</v>
      </c>
      <c r="C1297" t="n">
        <v>0</v>
      </c>
      <c r="D1297" t="n">
        <v>3</v>
      </c>
      <c r="E1297" t="s">
        <v>1307</v>
      </c>
      <c r="F1297" t="s"/>
      <c r="G1297" t="s"/>
      <c r="H1297" t="s"/>
      <c r="I1297" t="s"/>
      <c r="J1297" t="n">
        <v>0.5719</v>
      </c>
      <c r="K1297" t="n">
        <v>0</v>
      </c>
      <c r="L1297" t="n">
        <v>0.837</v>
      </c>
      <c r="M1297" t="n">
        <v>0.163</v>
      </c>
    </row>
    <row r="1298" spans="1:13">
      <c r="A1298" s="1">
        <f>HYPERLINK("http://www.twitter.com/NathanBLawrence/status/993363053549731840", "993363053549731840")</f>
        <v/>
      </c>
      <c r="B1298" s="2" t="n">
        <v>43227.23127314815</v>
      </c>
      <c r="C1298" t="n">
        <v>0</v>
      </c>
      <c r="D1298" t="n">
        <v>3</v>
      </c>
      <c r="E1298" t="s">
        <v>1308</v>
      </c>
      <c r="F1298" t="s"/>
      <c r="G1298" t="s"/>
      <c r="H1298" t="s"/>
      <c r="I1298" t="s"/>
      <c r="J1298" t="n">
        <v>0.1695</v>
      </c>
      <c r="K1298" t="n">
        <v>0</v>
      </c>
      <c r="L1298" t="n">
        <v>0.9</v>
      </c>
      <c r="M1298" t="n">
        <v>0.1</v>
      </c>
    </row>
    <row r="1299" spans="1:13">
      <c r="A1299" s="1">
        <f>HYPERLINK("http://www.twitter.com/NathanBLawrence/status/993362850998468609", "993362850998468609")</f>
        <v/>
      </c>
      <c r="B1299" s="2" t="n">
        <v>43227.2307175926</v>
      </c>
      <c r="C1299" t="n">
        <v>0</v>
      </c>
      <c r="D1299" t="n">
        <v>3</v>
      </c>
      <c r="E1299" t="s">
        <v>1309</v>
      </c>
      <c r="F1299">
        <f>HYPERLINK("http://pbs.twimg.com/media/DchK_VgUQAAEJJc.jpg", "http://pbs.twimg.com/media/DchK_VgUQAAEJJc.jpg")</f>
        <v/>
      </c>
      <c r="G1299" t="s"/>
      <c r="H1299" t="s"/>
      <c r="I1299" t="s"/>
      <c r="J1299" t="n">
        <v>0</v>
      </c>
      <c r="K1299" t="n">
        <v>0</v>
      </c>
      <c r="L1299" t="n">
        <v>1</v>
      </c>
      <c r="M1299" t="n">
        <v>0</v>
      </c>
    </row>
    <row r="1300" spans="1:13">
      <c r="A1300" s="1">
        <f>HYPERLINK("http://www.twitter.com/NathanBLawrence/status/993361988846665729", "993361988846665729")</f>
        <v/>
      </c>
      <c r="B1300" s="2" t="n">
        <v>43227.22833333333</v>
      </c>
      <c r="C1300" t="n">
        <v>0</v>
      </c>
      <c r="D1300" t="n">
        <v>2</v>
      </c>
      <c r="E1300" t="s">
        <v>1310</v>
      </c>
      <c r="F1300">
        <f>HYPERLINK("http://pbs.twimg.com/media/Dcj9xp2VAAAtqKc.jpg", "http://pbs.twimg.com/media/Dcj9xp2VAAAtqKc.jpg")</f>
        <v/>
      </c>
      <c r="G1300" t="s"/>
      <c r="H1300" t="s"/>
      <c r="I1300" t="s"/>
      <c r="J1300" t="n">
        <v>-0.7964</v>
      </c>
      <c r="K1300" t="n">
        <v>0.307</v>
      </c>
      <c r="L1300" t="n">
        <v>0.6929999999999999</v>
      </c>
      <c r="M1300" t="n">
        <v>0</v>
      </c>
    </row>
    <row r="1301" spans="1:13">
      <c r="A1301" s="1">
        <f>HYPERLINK("http://www.twitter.com/NathanBLawrence/status/993361965090160640", "993361965090160640")</f>
        <v/>
      </c>
      <c r="B1301" s="2" t="n">
        <v>43227.22826388889</v>
      </c>
      <c r="C1301" t="n">
        <v>0</v>
      </c>
      <c r="D1301" t="n">
        <v>3</v>
      </c>
      <c r="E1301" t="s">
        <v>1311</v>
      </c>
      <c r="F1301" t="s"/>
      <c r="G1301" t="s"/>
      <c r="H1301" t="s"/>
      <c r="I1301" t="s"/>
      <c r="J1301" t="n">
        <v>0.7574</v>
      </c>
      <c r="K1301" t="n">
        <v>0</v>
      </c>
      <c r="L1301" t="n">
        <v>0.735</v>
      </c>
      <c r="M1301" t="n">
        <v>0.265</v>
      </c>
    </row>
    <row r="1302" spans="1:13">
      <c r="A1302" s="1">
        <f>HYPERLINK("http://www.twitter.com/NathanBLawrence/status/993360879574904832", "993360879574904832")</f>
        <v/>
      </c>
      <c r="B1302" s="2" t="n">
        <v>43227.22527777778</v>
      </c>
      <c r="C1302" t="n">
        <v>0</v>
      </c>
      <c r="D1302" t="n">
        <v>4</v>
      </c>
      <c r="E1302" t="s">
        <v>1312</v>
      </c>
      <c r="F1302" t="s"/>
      <c r="G1302" t="s"/>
      <c r="H1302" t="s"/>
      <c r="I1302" t="s"/>
      <c r="J1302" t="n">
        <v>-0.34</v>
      </c>
      <c r="K1302" t="n">
        <v>0.103</v>
      </c>
      <c r="L1302" t="n">
        <v>0.897</v>
      </c>
      <c r="M1302" t="n">
        <v>0</v>
      </c>
    </row>
    <row r="1303" spans="1:13">
      <c r="A1303" s="1">
        <f>HYPERLINK("http://www.twitter.com/NathanBLawrence/status/993360818329632768", "993360818329632768")</f>
        <v/>
      </c>
      <c r="B1303" s="2" t="n">
        <v>43227.22510416667</v>
      </c>
      <c r="C1303" t="n">
        <v>0</v>
      </c>
      <c r="D1303" t="n">
        <v>2</v>
      </c>
      <c r="E1303" t="s">
        <v>1313</v>
      </c>
      <c r="F1303" t="s"/>
      <c r="G1303" t="s"/>
      <c r="H1303" t="s"/>
      <c r="I1303" t="s"/>
      <c r="J1303" t="n">
        <v>0.3612</v>
      </c>
      <c r="K1303" t="n">
        <v>0.068</v>
      </c>
      <c r="L1303" t="n">
        <v>0.803</v>
      </c>
      <c r="M1303" t="n">
        <v>0.129</v>
      </c>
    </row>
    <row r="1304" spans="1:13">
      <c r="A1304" s="1">
        <f>HYPERLINK("http://www.twitter.com/NathanBLawrence/status/993360697546366977", "993360697546366977")</f>
        <v/>
      </c>
      <c r="B1304" s="2" t="n">
        <v>43227.22476851852</v>
      </c>
      <c r="C1304" t="n">
        <v>0</v>
      </c>
      <c r="D1304" t="n">
        <v>1</v>
      </c>
      <c r="E1304" t="s">
        <v>1314</v>
      </c>
      <c r="F1304" t="s"/>
      <c r="G1304" t="s"/>
      <c r="H1304" t="s"/>
      <c r="I1304" t="s"/>
      <c r="J1304" t="n">
        <v>0.4939</v>
      </c>
      <c r="K1304" t="n">
        <v>0</v>
      </c>
      <c r="L1304" t="n">
        <v>0.714</v>
      </c>
      <c r="M1304" t="n">
        <v>0.286</v>
      </c>
    </row>
    <row r="1305" spans="1:13">
      <c r="A1305" s="1">
        <f>HYPERLINK("http://www.twitter.com/NathanBLawrence/status/993360572002402304", "993360572002402304")</f>
        <v/>
      </c>
      <c r="B1305" s="2" t="n">
        <v>43227.2244212963</v>
      </c>
      <c r="C1305" t="n">
        <v>0</v>
      </c>
      <c r="D1305" t="n">
        <v>3</v>
      </c>
      <c r="E1305" t="s">
        <v>1315</v>
      </c>
      <c r="F1305">
        <f>HYPERLINK("http://pbs.twimg.com/media/Dcitws-VQAA770v.jpg", "http://pbs.twimg.com/media/Dcitws-VQAA770v.jpg")</f>
        <v/>
      </c>
      <c r="G1305" t="s"/>
      <c r="H1305" t="s"/>
      <c r="I1305" t="s"/>
      <c r="J1305" t="n">
        <v>0.9001</v>
      </c>
      <c r="K1305" t="n">
        <v>0</v>
      </c>
      <c r="L1305" t="n">
        <v>0.52</v>
      </c>
      <c r="M1305" t="n">
        <v>0.48</v>
      </c>
    </row>
    <row r="1306" spans="1:13">
      <c r="A1306" s="1">
        <f>HYPERLINK("http://www.twitter.com/NathanBLawrence/status/993360021105790976", "993360021105790976")</f>
        <v/>
      </c>
      <c r="B1306" s="2" t="n">
        <v>43227.2229050926</v>
      </c>
      <c r="C1306" t="n">
        <v>0</v>
      </c>
      <c r="D1306" t="n">
        <v>4</v>
      </c>
      <c r="E1306" t="s">
        <v>1316</v>
      </c>
      <c r="F1306" t="s"/>
      <c r="G1306" t="s"/>
      <c r="H1306" t="s"/>
      <c r="I1306" t="s"/>
      <c r="J1306" t="n">
        <v>-0.8658</v>
      </c>
      <c r="K1306" t="n">
        <v>0.327</v>
      </c>
      <c r="L1306" t="n">
        <v>0.673</v>
      </c>
      <c r="M1306" t="n">
        <v>0</v>
      </c>
    </row>
    <row r="1307" spans="1:13">
      <c r="A1307" s="1">
        <f>HYPERLINK("http://www.twitter.com/NathanBLawrence/status/993359122350325760", "993359122350325760")</f>
        <v/>
      </c>
      <c r="B1307" s="2" t="n">
        <v>43227.22042824074</v>
      </c>
      <c r="C1307" t="n">
        <v>0</v>
      </c>
      <c r="D1307" t="n">
        <v>0</v>
      </c>
      <c r="E1307" t="s">
        <v>1317</v>
      </c>
      <c r="F1307">
        <f>HYPERLINK("http://pbs.twimg.com/media/DckehuHU8AAw6Vk.jpg", "http://pbs.twimg.com/media/DckehuHU8AAw6Vk.jpg")</f>
        <v/>
      </c>
      <c r="G1307">
        <f>HYPERLINK("http://pbs.twimg.com/media/Dckei_gVMAAmXmh.jpg", "http://pbs.twimg.com/media/Dckei_gVMAAmXmh.jpg")</f>
        <v/>
      </c>
      <c r="H1307">
        <f>HYPERLINK("http://pbs.twimg.com/media/DckejyDU0AAAiua.jpg", "http://pbs.twimg.com/media/DckejyDU0AAAiua.jpg")</f>
        <v/>
      </c>
      <c r="I1307" t="s"/>
      <c r="J1307" t="n">
        <v>0.6124000000000001</v>
      </c>
      <c r="K1307" t="n">
        <v>0</v>
      </c>
      <c r="L1307" t="n">
        <v>0.8080000000000001</v>
      </c>
      <c r="M1307" t="n">
        <v>0.192</v>
      </c>
    </row>
    <row r="1308" spans="1:13">
      <c r="A1308" s="1">
        <f>HYPERLINK("http://www.twitter.com/NathanBLawrence/status/993358527065305088", "993358527065305088")</f>
        <v/>
      </c>
      <c r="B1308" s="2" t="n">
        <v>43227.21878472222</v>
      </c>
      <c r="C1308" t="n">
        <v>0</v>
      </c>
      <c r="D1308" t="n">
        <v>5</v>
      </c>
      <c r="E1308" t="s">
        <v>1318</v>
      </c>
      <c r="F1308" t="s"/>
      <c r="G1308" t="s"/>
      <c r="H1308" t="s"/>
      <c r="I1308" t="s"/>
      <c r="J1308" t="n">
        <v>-0.0516</v>
      </c>
      <c r="K1308" t="n">
        <v>0.125</v>
      </c>
      <c r="L1308" t="n">
        <v>0.759</v>
      </c>
      <c r="M1308" t="n">
        <v>0.116</v>
      </c>
    </row>
    <row r="1309" spans="1:13">
      <c r="A1309" s="1">
        <f>HYPERLINK("http://www.twitter.com/NathanBLawrence/status/993358337457573889", "993358337457573889")</f>
        <v/>
      </c>
      <c r="B1309" s="2" t="n">
        <v>43227.21826388889</v>
      </c>
      <c r="C1309" t="n">
        <v>0</v>
      </c>
      <c r="D1309" t="n">
        <v>16</v>
      </c>
      <c r="E1309" t="s">
        <v>1319</v>
      </c>
      <c r="F1309">
        <f>HYPERLINK("http://pbs.twimg.com/media/DcjzO9QX0AAtJeY.jpg", "http://pbs.twimg.com/media/DcjzO9QX0AAtJeY.jpg")</f>
        <v/>
      </c>
      <c r="G1309" t="s"/>
      <c r="H1309" t="s"/>
      <c r="I1309" t="s"/>
      <c r="J1309" t="n">
        <v>0.1695</v>
      </c>
      <c r="K1309" t="n">
        <v>0</v>
      </c>
      <c r="L1309" t="n">
        <v>0.886</v>
      </c>
      <c r="M1309" t="n">
        <v>0.114</v>
      </c>
    </row>
    <row r="1310" spans="1:13">
      <c r="A1310" s="1">
        <f>HYPERLINK("http://www.twitter.com/NathanBLawrence/status/993358132276379648", "993358132276379648")</f>
        <v/>
      </c>
      <c r="B1310" s="2" t="n">
        <v>43227.21769675926</v>
      </c>
      <c r="C1310" t="n">
        <v>0</v>
      </c>
      <c r="D1310" t="n">
        <v>9</v>
      </c>
      <c r="E1310" t="s">
        <v>1320</v>
      </c>
      <c r="F1310" t="s"/>
      <c r="G1310" t="s"/>
      <c r="H1310" t="s"/>
      <c r="I1310" t="s"/>
      <c r="J1310" t="n">
        <v>-0.25</v>
      </c>
      <c r="K1310" t="n">
        <v>0.167</v>
      </c>
      <c r="L1310" t="n">
        <v>0.833</v>
      </c>
      <c r="M1310" t="n">
        <v>0</v>
      </c>
    </row>
    <row r="1311" spans="1:13">
      <c r="A1311" s="1">
        <f>HYPERLINK("http://www.twitter.com/NathanBLawrence/status/993357654490660870", "993357654490660870")</f>
        <v/>
      </c>
      <c r="B1311" s="2" t="n">
        <v>43227.21637731481</v>
      </c>
      <c r="C1311" t="n">
        <v>0</v>
      </c>
      <c r="D1311" t="n">
        <v>0</v>
      </c>
      <c r="E1311" t="s">
        <v>1321</v>
      </c>
      <c r="F1311" t="s"/>
      <c r="G1311" t="s"/>
      <c r="H1311" t="s"/>
      <c r="I1311" t="s"/>
      <c r="J1311" t="n">
        <v>-0.6774</v>
      </c>
      <c r="K1311" t="n">
        <v>0.144</v>
      </c>
      <c r="L1311" t="n">
        <v>0.856</v>
      </c>
      <c r="M1311" t="n">
        <v>0</v>
      </c>
    </row>
    <row r="1312" spans="1:13">
      <c r="A1312" s="1">
        <f>HYPERLINK("http://www.twitter.com/NathanBLawrence/status/993354253623214081", "993354253623214081")</f>
        <v/>
      </c>
      <c r="B1312" s="2" t="n">
        <v>43227.20699074074</v>
      </c>
      <c r="C1312" t="n">
        <v>0</v>
      </c>
      <c r="D1312" t="n">
        <v>22</v>
      </c>
      <c r="E1312" t="s">
        <v>1322</v>
      </c>
      <c r="F1312">
        <f>HYPERLINK("http://pbs.twimg.com/media/Dcjv9DmXkAIYevh.jpg", "http://pbs.twimg.com/media/Dcjv9DmXkAIYevh.jpg")</f>
        <v/>
      </c>
      <c r="G1312" t="s"/>
      <c r="H1312" t="s"/>
      <c r="I1312" t="s"/>
      <c r="J1312" t="n">
        <v>0.7177</v>
      </c>
      <c r="K1312" t="n">
        <v>0</v>
      </c>
      <c r="L1312" t="n">
        <v>0.7</v>
      </c>
      <c r="M1312" t="n">
        <v>0.3</v>
      </c>
    </row>
    <row r="1313" spans="1:13">
      <c r="A1313" s="1">
        <f>HYPERLINK("http://www.twitter.com/NathanBLawrence/status/993354105841074176", "993354105841074176")</f>
        <v/>
      </c>
      <c r="B1313" s="2" t="n">
        <v>43227.20658564815</v>
      </c>
      <c r="C1313" t="n">
        <v>0</v>
      </c>
      <c r="D1313" t="n">
        <v>0</v>
      </c>
      <c r="E1313" t="s">
        <v>1323</v>
      </c>
      <c r="F1313" t="s"/>
      <c r="G1313" t="s"/>
      <c r="H1313" t="s"/>
      <c r="I1313" t="s"/>
      <c r="J1313" t="n">
        <v>0.2023</v>
      </c>
      <c r="K1313" t="n">
        <v>0.054</v>
      </c>
      <c r="L1313" t="n">
        <v>0.833</v>
      </c>
      <c r="M1313" t="n">
        <v>0.112</v>
      </c>
    </row>
    <row r="1314" spans="1:13">
      <c r="A1314" s="1">
        <f>HYPERLINK("http://www.twitter.com/NathanBLawrence/status/993353055314702338", "993353055314702338")</f>
        <v/>
      </c>
      <c r="B1314" s="2" t="n">
        <v>43227.20368055555</v>
      </c>
      <c r="C1314" t="n">
        <v>2</v>
      </c>
      <c r="D1314" t="n">
        <v>3</v>
      </c>
      <c r="E1314" t="s">
        <v>1324</v>
      </c>
      <c r="F1314" t="s"/>
      <c r="G1314" t="s"/>
      <c r="H1314" t="s"/>
      <c r="I1314" t="s"/>
      <c r="J1314" t="n">
        <v>-0.2558</v>
      </c>
      <c r="K1314" t="n">
        <v>0.181</v>
      </c>
      <c r="L1314" t="n">
        <v>0.676</v>
      </c>
      <c r="M1314" t="n">
        <v>0.143</v>
      </c>
    </row>
    <row r="1315" spans="1:13">
      <c r="A1315" s="1">
        <f>HYPERLINK("http://www.twitter.com/NathanBLawrence/status/993352511451873286", "993352511451873286")</f>
        <v/>
      </c>
      <c r="B1315" s="2" t="n">
        <v>43227.20217592592</v>
      </c>
      <c r="C1315" t="n">
        <v>0</v>
      </c>
      <c r="D1315" t="n">
        <v>3</v>
      </c>
      <c r="E1315" t="s">
        <v>1325</v>
      </c>
      <c r="F1315" t="s"/>
      <c r="G1315" t="s"/>
      <c r="H1315" t="s"/>
      <c r="I1315" t="s"/>
      <c r="J1315" t="n">
        <v>0.5994</v>
      </c>
      <c r="K1315" t="n">
        <v>0</v>
      </c>
      <c r="L1315" t="n">
        <v>0.672</v>
      </c>
      <c r="M1315" t="n">
        <v>0.328</v>
      </c>
    </row>
    <row r="1316" spans="1:13">
      <c r="A1316" s="1">
        <f>HYPERLINK("http://www.twitter.com/NathanBLawrence/status/993351212744429568", "993351212744429568")</f>
        <v/>
      </c>
      <c r="B1316" s="2" t="n">
        <v>43227.19859953703</v>
      </c>
      <c r="C1316" t="n">
        <v>0</v>
      </c>
      <c r="D1316" t="n">
        <v>446</v>
      </c>
      <c r="E1316" t="s">
        <v>1326</v>
      </c>
      <c r="F1316" t="s"/>
      <c r="G1316" t="s"/>
      <c r="H1316" t="s"/>
      <c r="I1316" t="s"/>
      <c r="J1316" t="n">
        <v>-0.2411</v>
      </c>
      <c r="K1316" t="n">
        <v>0.089</v>
      </c>
      <c r="L1316" t="n">
        <v>0.911</v>
      </c>
      <c r="M1316" t="n">
        <v>0</v>
      </c>
    </row>
    <row r="1317" spans="1:13">
      <c r="A1317" s="1">
        <f>HYPERLINK("http://www.twitter.com/NathanBLawrence/status/993351049598517249", "993351049598517249")</f>
        <v/>
      </c>
      <c r="B1317" s="2" t="n">
        <v>43227.19814814815</v>
      </c>
      <c r="C1317" t="n">
        <v>0</v>
      </c>
      <c r="D1317" t="n">
        <v>1977</v>
      </c>
      <c r="E1317" t="s">
        <v>1327</v>
      </c>
      <c r="F1317">
        <f>HYPERLINK("http://pbs.twimg.com/media/DckPYo_X4AAOieP.jpg", "http://pbs.twimg.com/media/DckPYo_X4AAOieP.jpg")</f>
        <v/>
      </c>
      <c r="G1317" t="s"/>
      <c r="H1317" t="s"/>
      <c r="I1317" t="s"/>
      <c r="J1317" t="n">
        <v>0</v>
      </c>
      <c r="K1317" t="n">
        <v>0</v>
      </c>
      <c r="L1317" t="n">
        <v>1</v>
      </c>
      <c r="M1317" t="n">
        <v>0</v>
      </c>
    </row>
    <row r="1318" spans="1:13">
      <c r="A1318" s="1">
        <f>HYPERLINK("http://www.twitter.com/NathanBLawrence/status/993350962067591168", "993350962067591168")</f>
        <v/>
      </c>
      <c r="B1318" s="2" t="n">
        <v>43227.19790509259</v>
      </c>
      <c r="C1318" t="n">
        <v>0</v>
      </c>
      <c r="D1318" t="n">
        <v>555</v>
      </c>
      <c r="E1318" t="s">
        <v>1328</v>
      </c>
      <c r="F1318" t="s"/>
      <c r="G1318" t="s"/>
      <c r="H1318" t="s"/>
      <c r="I1318" t="s"/>
      <c r="J1318" t="n">
        <v>-0.7096</v>
      </c>
      <c r="K1318" t="n">
        <v>0.176</v>
      </c>
      <c r="L1318" t="n">
        <v>0.824</v>
      </c>
      <c r="M1318" t="n">
        <v>0</v>
      </c>
    </row>
    <row r="1319" spans="1:13">
      <c r="A1319" s="1">
        <f>HYPERLINK("http://www.twitter.com/NathanBLawrence/status/993350768752128001", "993350768752128001")</f>
        <v/>
      </c>
      <c r="B1319" s="2" t="n">
        <v>43227.19737268519</v>
      </c>
      <c r="C1319" t="n">
        <v>0</v>
      </c>
      <c r="D1319" t="n">
        <v>426</v>
      </c>
      <c r="E1319" t="s">
        <v>1329</v>
      </c>
      <c r="F1319" t="s"/>
      <c r="G1319" t="s"/>
      <c r="H1319" t="s"/>
      <c r="I1319" t="s"/>
      <c r="J1319" t="n">
        <v>0.3818</v>
      </c>
      <c r="K1319" t="n">
        <v>0</v>
      </c>
      <c r="L1319" t="n">
        <v>0.874</v>
      </c>
      <c r="M1319" t="n">
        <v>0.126</v>
      </c>
    </row>
    <row r="1320" spans="1:13">
      <c r="A1320" s="1">
        <f>HYPERLINK("http://www.twitter.com/NathanBLawrence/status/993350682479443968", "993350682479443968")</f>
        <v/>
      </c>
      <c r="B1320" s="2" t="n">
        <v>43227.19712962963</v>
      </c>
      <c r="C1320" t="n">
        <v>0</v>
      </c>
      <c r="D1320" t="n">
        <v>446</v>
      </c>
      <c r="E1320" t="s">
        <v>1330</v>
      </c>
      <c r="F1320" t="s"/>
      <c r="G1320" t="s"/>
      <c r="H1320" t="s"/>
      <c r="I1320" t="s"/>
      <c r="J1320" t="n">
        <v>0.3595</v>
      </c>
      <c r="K1320" t="n">
        <v>0</v>
      </c>
      <c r="L1320" t="n">
        <v>0.828</v>
      </c>
      <c r="M1320" t="n">
        <v>0.172</v>
      </c>
    </row>
    <row r="1321" spans="1:13">
      <c r="A1321" s="1">
        <f>HYPERLINK("http://www.twitter.com/NathanBLawrence/status/993350539655069696", "993350539655069696")</f>
        <v/>
      </c>
      <c r="B1321" s="2" t="n">
        <v>43227.19673611111</v>
      </c>
      <c r="C1321" t="n">
        <v>0</v>
      </c>
      <c r="D1321" t="n">
        <v>2883</v>
      </c>
      <c r="E1321" t="s">
        <v>1331</v>
      </c>
      <c r="F1321" t="s"/>
      <c r="G1321" t="s"/>
      <c r="H1321" t="s"/>
      <c r="I1321" t="s"/>
      <c r="J1321" t="n">
        <v>0.4019</v>
      </c>
      <c r="K1321" t="n">
        <v>0</v>
      </c>
      <c r="L1321" t="n">
        <v>0.876</v>
      </c>
      <c r="M1321" t="n">
        <v>0.124</v>
      </c>
    </row>
    <row r="1322" spans="1:13">
      <c r="A1322" s="1">
        <f>HYPERLINK("http://www.twitter.com/NathanBLawrence/status/993350404409774082", "993350404409774082")</f>
        <v/>
      </c>
      <c r="B1322" s="2" t="n">
        <v>43227.19636574074</v>
      </c>
      <c r="C1322" t="n">
        <v>0</v>
      </c>
      <c r="D1322" t="n">
        <v>185</v>
      </c>
      <c r="E1322" t="s">
        <v>1332</v>
      </c>
      <c r="F1322">
        <f>HYPERLINK("https://video.twimg.com/ext_tw_video/993304120269463552/pu/vid/480x480/ys44p1ok6-e1CARM.mp4?tag=3", "https://video.twimg.com/ext_tw_video/993304120269463552/pu/vid/480x480/ys44p1ok6-e1CARM.mp4?tag=3")</f>
        <v/>
      </c>
      <c r="G1322" t="s"/>
      <c r="H1322" t="s"/>
      <c r="I1322" t="s"/>
      <c r="J1322" t="n">
        <v>0.3365</v>
      </c>
      <c r="K1322" t="n">
        <v>0</v>
      </c>
      <c r="L1322" t="n">
        <v>0.893</v>
      </c>
      <c r="M1322" t="n">
        <v>0.107</v>
      </c>
    </row>
    <row r="1323" spans="1:13">
      <c r="A1323" s="1">
        <f>HYPERLINK("http://www.twitter.com/NathanBLawrence/status/993350224109170688", "993350224109170688")</f>
        <v/>
      </c>
      <c r="B1323" s="2" t="n">
        <v>43227.19586805555</v>
      </c>
      <c r="C1323" t="n">
        <v>0</v>
      </c>
      <c r="D1323" t="n">
        <v>2102</v>
      </c>
      <c r="E1323" t="s">
        <v>1333</v>
      </c>
      <c r="F1323" t="s"/>
      <c r="G1323" t="s"/>
      <c r="H1323" t="s"/>
      <c r="I1323" t="s"/>
      <c r="J1323" t="n">
        <v>0.7554999999999999</v>
      </c>
      <c r="K1323" t="n">
        <v>0</v>
      </c>
      <c r="L1323" t="n">
        <v>0.668</v>
      </c>
      <c r="M1323" t="n">
        <v>0.332</v>
      </c>
    </row>
    <row r="1324" spans="1:13">
      <c r="A1324" s="1">
        <f>HYPERLINK("http://www.twitter.com/NathanBLawrence/status/993350173240643584", "993350173240643584")</f>
        <v/>
      </c>
      <c r="B1324" s="2" t="n">
        <v>43227.19572916667</v>
      </c>
      <c r="C1324" t="n">
        <v>0</v>
      </c>
      <c r="D1324" t="n">
        <v>395</v>
      </c>
      <c r="E1324" t="s">
        <v>1334</v>
      </c>
      <c r="F1324">
        <f>HYPERLINK("http://pbs.twimg.com/media/DckNfAFVQAAQSm7.jpg", "http://pbs.twimg.com/media/DckNfAFVQAAQSm7.jpg")</f>
        <v/>
      </c>
      <c r="G1324" t="s"/>
      <c r="H1324" t="s"/>
      <c r="I1324" t="s"/>
      <c r="J1324" t="n">
        <v>0.4404</v>
      </c>
      <c r="K1324" t="n">
        <v>0</v>
      </c>
      <c r="L1324" t="n">
        <v>0.847</v>
      </c>
      <c r="M1324" t="n">
        <v>0.153</v>
      </c>
    </row>
    <row r="1325" spans="1:13">
      <c r="A1325" s="1">
        <f>HYPERLINK("http://www.twitter.com/NathanBLawrence/status/993350075249180672", "993350075249180672")</f>
        <v/>
      </c>
      <c r="B1325" s="2" t="n">
        <v>43227.19546296296</v>
      </c>
      <c r="C1325" t="n">
        <v>0</v>
      </c>
      <c r="D1325" t="n">
        <v>11</v>
      </c>
      <c r="E1325" t="s">
        <v>1335</v>
      </c>
      <c r="F1325" t="s"/>
      <c r="G1325" t="s"/>
      <c r="H1325" t="s"/>
      <c r="I1325" t="s"/>
      <c r="J1325" t="n">
        <v>-0.1154</v>
      </c>
      <c r="K1325" t="n">
        <v>0.125</v>
      </c>
      <c r="L1325" t="n">
        <v>0.768</v>
      </c>
      <c r="M1325" t="n">
        <v>0.107</v>
      </c>
    </row>
    <row r="1326" spans="1:13">
      <c r="A1326" s="1">
        <f>HYPERLINK("http://www.twitter.com/NathanBLawrence/status/993349623589699584", "993349623589699584")</f>
        <v/>
      </c>
      <c r="B1326" s="2" t="n">
        <v>43227.19421296296</v>
      </c>
      <c r="C1326" t="n">
        <v>0</v>
      </c>
      <c r="D1326" t="n">
        <v>10452</v>
      </c>
      <c r="E1326" t="s">
        <v>1336</v>
      </c>
      <c r="F1326" t="s"/>
      <c r="G1326" t="s"/>
      <c r="H1326" t="s"/>
      <c r="I1326" t="s"/>
      <c r="J1326" t="n">
        <v>-0.8316</v>
      </c>
      <c r="K1326" t="n">
        <v>0.271</v>
      </c>
      <c r="L1326" t="n">
        <v>0.729</v>
      </c>
      <c r="M1326" t="n">
        <v>0</v>
      </c>
    </row>
    <row r="1327" spans="1:13">
      <c r="A1327" s="1">
        <f>HYPERLINK("http://www.twitter.com/NathanBLawrence/status/993349435408068608", "993349435408068608")</f>
        <v/>
      </c>
      <c r="B1327" s="2" t="n">
        <v>43227.19369212963</v>
      </c>
      <c r="C1327" t="n">
        <v>0</v>
      </c>
      <c r="D1327" t="n">
        <v>226</v>
      </c>
      <c r="E1327" t="s">
        <v>1337</v>
      </c>
      <c r="F1327" t="s"/>
      <c r="G1327" t="s"/>
      <c r="H1327" t="s"/>
      <c r="I1327" t="s"/>
      <c r="J1327" t="n">
        <v>0</v>
      </c>
      <c r="K1327" t="n">
        <v>0</v>
      </c>
      <c r="L1327" t="n">
        <v>1</v>
      </c>
      <c r="M1327" t="n">
        <v>0</v>
      </c>
    </row>
    <row r="1328" spans="1:13">
      <c r="A1328" s="1">
        <f>HYPERLINK("http://www.twitter.com/NathanBLawrence/status/993349279224770560", "993349279224770560")</f>
        <v/>
      </c>
      <c r="B1328" s="2" t="n">
        <v>43227.19326388889</v>
      </c>
      <c r="C1328" t="n">
        <v>0</v>
      </c>
      <c r="D1328" t="n">
        <v>1714</v>
      </c>
      <c r="E1328" t="s">
        <v>1338</v>
      </c>
      <c r="F1328" t="s"/>
      <c r="G1328" t="s"/>
      <c r="H1328" t="s"/>
      <c r="I1328" t="s"/>
      <c r="J1328" t="n">
        <v>-0.34</v>
      </c>
      <c r="K1328" t="n">
        <v>0.229</v>
      </c>
      <c r="L1328" t="n">
        <v>0.654</v>
      </c>
      <c r="M1328" t="n">
        <v>0.117</v>
      </c>
    </row>
    <row r="1329" spans="1:13">
      <c r="A1329" s="1">
        <f>HYPERLINK("http://www.twitter.com/NathanBLawrence/status/993349172890816512", "993349172890816512")</f>
        <v/>
      </c>
      <c r="B1329" s="2" t="n">
        <v>43227.19297453704</v>
      </c>
      <c r="C1329" t="n">
        <v>0</v>
      </c>
      <c r="D1329" t="n">
        <v>1053</v>
      </c>
      <c r="E1329" t="s">
        <v>1339</v>
      </c>
      <c r="F1329" t="s"/>
      <c r="G1329" t="s"/>
      <c r="H1329" t="s"/>
      <c r="I1329" t="s"/>
      <c r="J1329" t="n">
        <v>0.6467000000000001</v>
      </c>
      <c r="K1329" t="n">
        <v>0</v>
      </c>
      <c r="L1329" t="n">
        <v>0.8080000000000001</v>
      </c>
      <c r="M1329" t="n">
        <v>0.192</v>
      </c>
    </row>
    <row r="1330" spans="1:13">
      <c r="A1330" s="1">
        <f>HYPERLINK("http://www.twitter.com/NathanBLawrence/status/993349025129676802", "993349025129676802")</f>
        <v/>
      </c>
      <c r="B1330" s="2" t="n">
        <v>43227.19255787037</v>
      </c>
      <c r="C1330" t="n">
        <v>0</v>
      </c>
      <c r="D1330" t="n">
        <v>704</v>
      </c>
      <c r="E1330" t="s">
        <v>1340</v>
      </c>
      <c r="F1330" t="s"/>
      <c r="G1330" t="s"/>
      <c r="H1330" t="s"/>
      <c r="I1330" t="s"/>
      <c r="J1330" t="n">
        <v>0.1531</v>
      </c>
      <c r="K1330" t="n">
        <v>0.081</v>
      </c>
      <c r="L1330" t="n">
        <v>0.8129999999999999</v>
      </c>
      <c r="M1330" t="n">
        <v>0.106</v>
      </c>
    </row>
    <row r="1331" spans="1:13">
      <c r="A1331" s="1">
        <f>HYPERLINK("http://www.twitter.com/NathanBLawrence/status/993348412891254784", "993348412891254784")</f>
        <v/>
      </c>
      <c r="B1331" s="2" t="n">
        <v>43227.19086805556</v>
      </c>
      <c r="C1331" t="n">
        <v>0</v>
      </c>
      <c r="D1331" t="n">
        <v>1265</v>
      </c>
      <c r="E1331" t="s">
        <v>1341</v>
      </c>
      <c r="F1331">
        <f>HYPERLINK("http://pbs.twimg.com/media/Dcjm65KWAAAyVWy.jpg", "http://pbs.twimg.com/media/Dcjm65KWAAAyVWy.jpg")</f>
        <v/>
      </c>
      <c r="G1331">
        <f>HYPERLINK("http://pbs.twimg.com/media/Dcjm7k5XUAA5zFI.png", "http://pbs.twimg.com/media/Dcjm7k5XUAA5zFI.png")</f>
        <v/>
      </c>
      <c r="H1331" t="s"/>
      <c r="I1331" t="s"/>
      <c r="J1331" t="n">
        <v>0.471</v>
      </c>
      <c r="K1331" t="n">
        <v>0.097</v>
      </c>
      <c r="L1331" t="n">
        <v>0.724</v>
      </c>
      <c r="M1331" t="n">
        <v>0.18</v>
      </c>
    </row>
    <row r="1332" spans="1:13">
      <c r="A1332" s="1">
        <f>HYPERLINK("http://www.twitter.com/NathanBLawrence/status/993348119319400448", "993348119319400448")</f>
        <v/>
      </c>
      <c r="B1332" s="2" t="n">
        <v>43227.19005787037</v>
      </c>
      <c r="C1332" t="n">
        <v>0</v>
      </c>
      <c r="D1332" t="n">
        <v>6</v>
      </c>
      <c r="E1332" t="s">
        <v>1342</v>
      </c>
      <c r="F1332" t="s"/>
      <c r="G1332" t="s"/>
      <c r="H1332" t="s"/>
      <c r="I1332" t="s"/>
      <c r="J1332" t="n">
        <v>-0.2732</v>
      </c>
      <c r="K1332" t="n">
        <v>0.08699999999999999</v>
      </c>
      <c r="L1332" t="n">
        <v>0.913</v>
      </c>
      <c r="M1332" t="n">
        <v>0</v>
      </c>
    </row>
    <row r="1333" spans="1:13">
      <c r="A1333" s="1">
        <f>HYPERLINK("http://www.twitter.com/NathanBLawrence/status/993347752351358976", "993347752351358976")</f>
        <v/>
      </c>
      <c r="B1333" s="2" t="n">
        <v>43227.18905092592</v>
      </c>
      <c r="C1333" t="n">
        <v>0</v>
      </c>
      <c r="D1333" t="n">
        <v>256</v>
      </c>
      <c r="E1333" t="s">
        <v>1343</v>
      </c>
      <c r="F1333" t="s"/>
      <c r="G1333" t="s"/>
      <c r="H1333" t="s"/>
      <c r="I1333" t="s"/>
      <c r="J1333" t="n">
        <v>0.4404</v>
      </c>
      <c r="K1333" t="n">
        <v>0</v>
      </c>
      <c r="L1333" t="n">
        <v>0.854</v>
      </c>
      <c r="M1333" t="n">
        <v>0.146</v>
      </c>
    </row>
    <row r="1334" spans="1:13">
      <c r="A1334" s="1">
        <f>HYPERLINK("http://www.twitter.com/NathanBLawrence/status/993347565037875200", "993347565037875200")</f>
        <v/>
      </c>
      <c r="B1334" s="2" t="n">
        <v>43227.18853009259</v>
      </c>
      <c r="C1334" t="n">
        <v>0</v>
      </c>
      <c r="D1334" t="n">
        <v>59</v>
      </c>
      <c r="E1334" t="s">
        <v>1344</v>
      </c>
      <c r="F1334" t="s"/>
      <c r="G1334" t="s"/>
      <c r="H1334" t="s"/>
      <c r="I1334" t="s"/>
      <c r="J1334" t="n">
        <v>-0.4767</v>
      </c>
      <c r="K1334" t="n">
        <v>0.22</v>
      </c>
      <c r="L1334" t="n">
        <v>0.78</v>
      </c>
      <c r="M1334" t="n">
        <v>0</v>
      </c>
    </row>
    <row r="1335" spans="1:13">
      <c r="A1335" s="1">
        <f>HYPERLINK("http://www.twitter.com/NathanBLawrence/status/993347402630184961", "993347402630184961")</f>
        <v/>
      </c>
      <c r="B1335" s="2" t="n">
        <v>43227.1880787037</v>
      </c>
      <c r="C1335" t="n">
        <v>0</v>
      </c>
      <c r="D1335" t="n">
        <v>677</v>
      </c>
      <c r="E1335" t="s">
        <v>1345</v>
      </c>
      <c r="F1335">
        <f>HYPERLINK("http://pbs.twimg.com/media/DcjXiL3X4AAcW4k.jpg", "http://pbs.twimg.com/media/DcjXiL3X4AAcW4k.jpg")</f>
        <v/>
      </c>
      <c r="G1335" t="s"/>
      <c r="H1335" t="s"/>
      <c r="I1335" t="s"/>
      <c r="J1335" t="n">
        <v>-0.7088</v>
      </c>
      <c r="K1335" t="n">
        <v>0.273</v>
      </c>
      <c r="L1335" t="n">
        <v>0.727</v>
      </c>
      <c r="M1335" t="n">
        <v>0</v>
      </c>
    </row>
    <row r="1336" spans="1:13">
      <c r="A1336" s="1">
        <f>HYPERLINK("http://www.twitter.com/NathanBLawrence/status/993347014422286336", "993347014422286336")</f>
        <v/>
      </c>
      <c r="B1336" s="2" t="n">
        <v>43227.18701388889</v>
      </c>
      <c r="C1336" t="n">
        <v>2</v>
      </c>
      <c r="D1336" t="n">
        <v>3</v>
      </c>
      <c r="E1336" t="s">
        <v>1346</v>
      </c>
      <c r="F1336" t="s"/>
      <c r="G1336" t="s"/>
      <c r="H1336" t="s"/>
      <c r="I1336" t="s"/>
      <c r="J1336" t="n">
        <v>-0.8176</v>
      </c>
      <c r="K1336" t="n">
        <v>0.241</v>
      </c>
      <c r="L1336" t="n">
        <v>0.608</v>
      </c>
      <c r="M1336" t="n">
        <v>0.151</v>
      </c>
    </row>
    <row r="1337" spans="1:13">
      <c r="A1337" s="1">
        <f>HYPERLINK("http://www.twitter.com/NathanBLawrence/status/993346728144195584", "993346728144195584")</f>
        <v/>
      </c>
      <c r="B1337" s="2" t="n">
        <v>43227.18622685185</v>
      </c>
      <c r="C1337" t="n">
        <v>0</v>
      </c>
      <c r="D1337" t="n">
        <v>256</v>
      </c>
      <c r="E1337" t="s">
        <v>1347</v>
      </c>
      <c r="F1337">
        <f>HYPERLINK("http://pbs.twimg.com/media/DcjRg0CV4AE2dA0.jpg", "http://pbs.twimg.com/media/DcjRg0CV4AE2dA0.jpg")</f>
        <v/>
      </c>
      <c r="G1337" t="s"/>
      <c r="H1337" t="s"/>
      <c r="I1337" t="s"/>
      <c r="J1337" t="n">
        <v>0.9049</v>
      </c>
      <c r="K1337" t="n">
        <v>0</v>
      </c>
      <c r="L1337" t="n">
        <v>0.588</v>
      </c>
      <c r="M1337" t="n">
        <v>0.412</v>
      </c>
    </row>
    <row r="1338" spans="1:13">
      <c r="A1338" s="1">
        <f>HYPERLINK("http://www.twitter.com/NathanBLawrence/status/993346530273705984", "993346530273705984")</f>
        <v/>
      </c>
      <c r="B1338" s="2" t="n">
        <v>43227.1856712963</v>
      </c>
      <c r="C1338" t="n">
        <v>0</v>
      </c>
      <c r="D1338" t="n">
        <v>257</v>
      </c>
      <c r="E1338" t="s">
        <v>1348</v>
      </c>
      <c r="F1338">
        <f>HYPERLINK("https://video.twimg.com/amplify_video/993232298265886720/vid/1280x720/unZnjikLuY4s24Q2.mp4?tag=2", "https://video.twimg.com/amplify_video/993232298265886720/vid/1280x720/unZnjikLuY4s24Q2.mp4?tag=2")</f>
        <v/>
      </c>
      <c r="G1338" t="s"/>
      <c r="H1338" t="s"/>
      <c r="I1338" t="s"/>
      <c r="J1338" t="n">
        <v>0.8225</v>
      </c>
      <c r="K1338" t="n">
        <v>0</v>
      </c>
      <c r="L1338" t="n">
        <v>0.734</v>
      </c>
      <c r="M1338" t="n">
        <v>0.266</v>
      </c>
    </row>
    <row r="1339" spans="1:13">
      <c r="A1339" s="1">
        <f>HYPERLINK("http://www.twitter.com/NathanBLawrence/status/993346434773671936", "993346434773671936")</f>
        <v/>
      </c>
      <c r="B1339" s="2" t="n">
        <v>43227.18541666667</v>
      </c>
      <c r="C1339" t="n">
        <v>0</v>
      </c>
      <c r="D1339" t="n">
        <v>1016</v>
      </c>
      <c r="E1339" t="s">
        <v>1349</v>
      </c>
      <c r="F1339">
        <f>HYPERLINK("https://video.twimg.com/amplify_video/992181562098814976/vid/1280x720/hbD0VCd9GwzgPpRT.mp4?tag=2", "https://video.twimg.com/amplify_video/992181562098814976/vid/1280x720/hbD0VCd9GwzgPpRT.mp4?tag=2")</f>
        <v/>
      </c>
      <c r="G1339" t="s"/>
      <c r="H1339" t="s"/>
      <c r="I1339" t="s"/>
      <c r="J1339" t="n">
        <v>-0.5574</v>
      </c>
      <c r="K1339" t="n">
        <v>0.167</v>
      </c>
      <c r="L1339" t="n">
        <v>0.833</v>
      </c>
      <c r="M1339" t="n">
        <v>0</v>
      </c>
    </row>
    <row r="1340" spans="1:13">
      <c r="A1340" s="1">
        <f>HYPERLINK("http://www.twitter.com/NathanBLawrence/status/993344250648539138", "993344250648539138")</f>
        <v/>
      </c>
      <c r="B1340" s="2" t="n">
        <v>43227.17938657408</v>
      </c>
      <c r="C1340" t="n">
        <v>0</v>
      </c>
      <c r="D1340" t="n">
        <v>0</v>
      </c>
      <c r="E1340" t="s">
        <v>1350</v>
      </c>
      <c r="F1340">
        <f>HYPERLINK("http://pbs.twimg.com/media/DckRECtVQAA7HkS.jpg", "http://pbs.twimg.com/media/DckRECtVQAA7HkS.jpg")</f>
        <v/>
      </c>
      <c r="G1340">
        <f>HYPERLINK("http://pbs.twimg.com/media/DckRIlkV4AAXOJH.jpg", "http://pbs.twimg.com/media/DckRIlkV4AAXOJH.jpg")</f>
        <v/>
      </c>
      <c r="H1340">
        <f>HYPERLINK("http://pbs.twimg.com/media/DckROABV4AAasWM.jpg", "http://pbs.twimg.com/media/DckROABV4AAasWM.jpg")</f>
        <v/>
      </c>
      <c r="I1340">
        <f>HYPERLINK("http://pbs.twimg.com/media/DckRUrEU8AELzy1.jpg", "http://pbs.twimg.com/media/DckRUrEU8AELzy1.jpg")</f>
        <v/>
      </c>
      <c r="J1340" t="n">
        <v>0</v>
      </c>
      <c r="K1340" t="n">
        <v>0</v>
      </c>
      <c r="L1340" t="n">
        <v>1</v>
      </c>
      <c r="M1340" t="n">
        <v>0</v>
      </c>
    </row>
    <row r="1341" spans="1:13">
      <c r="A1341" s="1">
        <f>HYPERLINK("http://www.twitter.com/NathanBLawrence/status/993343822334644224", "993343822334644224")</f>
        <v/>
      </c>
      <c r="B1341" s="2" t="n">
        <v>43227.17820601852</v>
      </c>
      <c r="C1341" t="n">
        <v>0</v>
      </c>
      <c r="D1341" t="n">
        <v>1</v>
      </c>
      <c r="E1341" t="s">
        <v>1351</v>
      </c>
      <c r="F1341" t="s"/>
      <c r="G1341" t="s"/>
      <c r="H1341" t="s"/>
      <c r="I1341" t="s"/>
      <c r="J1341" t="n">
        <v>-0.8176</v>
      </c>
      <c r="K1341" t="n">
        <v>0.204</v>
      </c>
      <c r="L1341" t="n">
        <v>0.668</v>
      </c>
      <c r="M1341" t="n">
        <v>0.128</v>
      </c>
    </row>
    <row r="1342" spans="1:13">
      <c r="A1342" s="1">
        <f>HYPERLINK("http://www.twitter.com/NathanBLawrence/status/993341101200228352", "993341101200228352")</f>
        <v/>
      </c>
      <c r="B1342" s="2" t="n">
        <v>43227.17069444444</v>
      </c>
      <c r="C1342" t="n">
        <v>0</v>
      </c>
      <c r="D1342" t="n">
        <v>149</v>
      </c>
      <c r="E1342" t="s">
        <v>1352</v>
      </c>
      <c r="F1342" t="s"/>
      <c r="G1342" t="s"/>
      <c r="H1342" t="s"/>
      <c r="I1342" t="s"/>
      <c r="J1342" t="n">
        <v>0</v>
      </c>
      <c r="K1342" t="n">
        <v>0</v>
      </c>
      <c r="L1342" t="n">
        <v>1</v>
      </c>
      <c r="M1342" t="n">
        <v>0</v>
      </c>
    </row>
    <row r="1343" spans="1:13">
      <c r="A1343" s="1">
        <f>HYPERLINK("http://www.twitter.com/NathanBLawrence/status/993340972267270145", "993340972267270145")</f>
        <v/>
      </c>
      <c r="B1343" s="2" t="n">
        <v>43227.17033564814</v>
      </c>
      <c r="C1343" t="n">
        <v>0</v>
      </c>
      <c r="D1343" t="n">
        <v>132</v>
      </c>
      <c r="E1343" t="s">
        <v>1353</v>
      </c>
      <c r="F1343" t="s"/>
      <c r="G1343" t="s"/>
      <c r="H1343" t="s"/>
      <c r="I1343" t="s"/>
      <c r="J1343" t="n">
        <v>0.6588000000000001</v>
      </c>
      <c r="K1343" t="n">
        <v>0</v>
      </c>
      <c r="L1343" t="n">
        <v>0.477</v>
      </c>
      <c r="M1343" t="n">
        <v>0.523</v>
      </c>
    </row>
    <row r="1344" spans="1:13">
      <c r="A1344" s="1">
        <f>HYPERLINK("http://www.twitter.com/NathanBLawrence/status/993340929086914560", "993340929086914560")</f>
        <v/>
      </c>
      <c r="B1344" s="2" t="n">
        <v>43227.17021990741</v>
      </c>
      <c r="C1344" t="n">
        <v>0</v>
      </c>
      <c r="D1344" t="n">
        <v>11</v>
      </c>
      <c r="E1344" t="s">
        <v>1354</v>
      </c>
      <c r="F1344">
        <f>HYPERLINK("http://pbs.twimg.com/media/DcjCyYSX0AM5dEt.jpg", "http://pbs.twimg.com/media/DcjCyYSX0AM5dEt.jpg")</f>
        <v/>
      </c>
      <c r="G1344" t="s"/>
      <c r="H1344" t="s"/>
      <c r="I1344" t="s"/>
      <c r="J1344" t="n">
        <v>0</v>
      </c>
      <c r="K1344" t="n">
        <v>0</v>
      </c>
      <c r="L1344" t="n">
        <v>1</v>
      </c>
      <c r="M1344" t="n">
        <v>0</v>
      </c>
    </row>
    <row r="1345" spans="1:13">
      <c r="A1345" s="1">
        <f>HYPERLINK("http://www.twitter.com/NathanBLawrence/status/993340845800632321", "993340845800632321")</f>
        <v/>
      </c>
      <c r="B1345" s="2" t="n">
        <v>43227.16998842593</v>
      </c>
      <c r="C1345" t="n">
        <v>0</v>
      </c>
      <c r="D1345" t="n">
        <v>161</v>
      </c>
      <c r="E1345" t="s">
        <v>1355</v>
      </c>
      <c r="F1345">
        <f>HYPERLINK("http://pbs.twimg.com/media/Dci6pLuX4AMrt_A.jpg", "http://pbs.twimg.com/media/Dci6pLuX4AMrt_A.jpg")</f>
        <v/>
      </c>
      <c r="G1345" t="s"/>
      <c r="H1345" t="s"/>
      <c r="I1345" t="s"/>
      <c r="J1345" t="n">
        <v>0</v>
      </c>
      <c r="K1345" t="n">
        <v>0</v>
      </c>
      <c r="L1345" t="n">
        <v>1</v>
      </c>
      <c r="M1345" t="n">
        <v>0</v>
      </c>
    </row>
    <row r="1346" spans="1:13">
      <c r="A1346" s="1">
        <f>HYPERLINK("http://www.twitter.com/NathanBLawrence/status/993340522130362368", "993340522130362368")</f>
        <v/>
      </c>
      <c r="B1346" s="2" t="n">
        <v>43227.16909722222</v>
      </c>
      <c r="C1346" t="n">
        <v>0</v>
      </c>
      <c r="D1346" t="n">
        <v>393</v>
      </c>
      <c r="E1346" t="s">
        <v>1356</v>
      </c>
      <c r="F1346">
        <f>HYPERLINK("http://pbs.twimg.com/media/Dci6EX-U0AA-gfS.jpg", "http://pbs.twimg.com/media/Dci6EX-U0AA-gfS.jpg")</f>
        <v/>
      </c>
      <c r="G1346" t="s"/>
      <c r="H1346" t="s"/>
      <c r="I1346" t="s"/>
      <c r="J1346" t="n">
        <v>0.2732</v>
      </c>
      <c r="K1346" t="n">
        <v>0</v>
      </c>
      <c r="L1346" t="n">
        <v>0.896</v>
      </c>
      <c r="M1346" t="n">
        <v>0.104</v>
      </c>
    </row>
    <row r="1347" spans="1:13">
      <c r="A1347" s="1">
        <f>HYPERLINK("http://www.twitter.com/NathanBLawrence/status/993340118353129472", "993340118353129472")</f>
        <v/>
      </c>
      <c r="B1347" s="2" t="n">
        <v>43227.16798611111</v>
      </c>
      <c r="C1347" t="n">
        <v>0</v>
      </c>
      <c r="D1347" t="n">
        <v>284</v>
      </c>
      <c r="E1347" t="s">
        <v>1357</v>
      </c>
      <c r="F1347">
        <f>HYPERLINK("http://pbs.twimg.com/media/Dci6NiDW4AEU-Lb.jpg", "http://pbs.twimg.com/media/Dci6NiDW4AEU-Lb.jpg")</f>
        <v/>
      </c>
      <c r="G1347" t="s"/>
      <c r="H1347" t="s"/>
      <c r="I1347" t="s"/>
      <c r="J1347" t="n">
        <v>0.2023</v>
      </c>
      <c r="K1347" t="n">
        <v>0.111</v>
      </c>
      <c r="L1347" t="n">
        <v>0.741</v>
      </c>
      <c r="M1347" t="n">
        <v>0.148</v>
      </c>
    </row>
    <row r="1348" spans="1:13">
      <c r="A1348" s="1">
        <f>HYPERLINK("http://www.twitter.com/NathanBLawrence/status/993339989931905024", "993339989931905024")</f>
        <v/>
      </c>
      <c r="B1348" s="2" t="n">
        <v>43227.16762731481</v>
      </c>
      <c r="C1348" t="n">
        <v>0</v>
      </c>
      <c r="D1348" t="n">
        <v>231</v>
      </c>
      <c r="E1348" t="s">
        <v>1358</v>
      </c>
      <c r="F1348">
        <f>HYPERLINK("http://pbs.twimg.com/media/Dci_wqwUwAA2aZe.jpg", "http://pbs.twimg.com/media/Dci_wqwUwAA2aZe.jpg")</f>
        <v/>
      </c>
      <c r="G1348" t="s"/>
      <c r="H1348" t="s"/>
      <c r="I1348" t="s"/>
      <c r="J1348" t="n">
        <v>0.9004</v>
      </c>
      <c r="K1348" t="n">
        <v>0</v>
      </c>
      <c r="L1348" t="n">
        <v>0.62</v>
      </c>
      <c r="M1348" t="n">
        <v>0.38</v>
      </c>
    </row>
    <row r="1349" spans="1:13">
      <c r="A1349" s="1">
        <f>HYPERLINK("http://www.twitter.com/NathanBLawrence/status/993288348411285506", "993288348411285506")</f>
        <v/>
      </c>
      <c r="B1349" s="2" t="n">
        <v>43227.02512731482</v>
      </c>
      <c r="C1349" t="n">
        <v>0</v>
      </c>
      <c r="D1349" t="n">
        <v>364</v>
      </c>
      <c r="E1349" t="s">
        <v>1359</v>
      </c>
      <c r="F1349">
        <f>HYPERLINK("http://pbs.twimg.com/media/DcivE1TW0AA5JL-.jpg", "http://pbs.twimg.com/media/DcivE1TW0AA5JL-.jpg")</f>
        <v/>
      </c>
      <c r="G1349" t="s"/>
      <c r="H1349" t="s"/>
      <c r="I1349" t="s"/>
      <c r="J1349" t="n">
        <v>-0.5574</v>
      </c>
      <c r="K1349" t="n">
        <v>0.265</v>
      </c>
      <c r="L1349" t="n">
        <v>0.735</v>
      </c>
      <c r="M1349" t="n">
        <v>0</v>
      </c>
    </row>
    <row r="1350" spans="1:13">
      <c r="A1350" s="1">
        <f>HYPERLINK("http://www.twitter.com/NathanBLawrence/status/993288292132098049", "993288292132098049")</f>
        <v/>
      </c>
      <c r="B1350" s="2" t="n">
        <v>43227.02496527778</v>
      </c>
      <c r="C1350" t="n">
        <v>0</v>
      </c>
      <c r="D1350" t="n">
        <v>336</v>
      </c>
      <c r="E1350" t="s">
        <v>1360</v>
      </c>
      <c r="F1350" t="s"/>
      <c r="G1350" t="s"/>
      <c r="H1350" t="s"/>
      <c r="I1350" t="s"/>
      <c r="J1350" t="n">
        <v>0.7906</v>
      </c>
      <c r="K1350" t="n">
        <v>0</v>
      </c>
      <c r="L1350" t="n">
        <v>0.75</v>
      </c>
      <c r="M1350" t="n">
        <v>0.25</v>
      </c>
    </row>
    <row r="1351" spans="1:13">
      <c r="A1351" s="1">
        <f>HYPERLINK("http://www.twitter.com/NathanBLawrence/status/993288153317376000", "993288153317376000")</f>
        <v/>
      </c>
      <c r="B1351" s="2" t="n">
        <v>43227.02458333333</v>
      </c>
      <c r="C1351" t="n">
        <v>0</v>
      </c>
      <c r="D1351" t="n">
        <v>895</v>
      </c>
      <c r="E1351" t="s">
        <v>1361</v>
      </c>
      <c r="F1351" t="s"/>
      <c r="G1351" t="s"/>
      <c r="H1351" t="s"/>
      <c r="I1351" t="s"/>
      <c r="J1351" t="n">
        <v>-0.7845</v>
      </c>
      <c r="K1351" t="n">
        <v>0.317</v>
      </c>
      <c r="L1351" t="n">
        <v>0.6830000000000001</v>
      </c>
      <c r="M1351" t="n">
        <v>0</v>
      </c>
    </row>
    <row r="1352" spans="1:13">
      <c r="A1352" s="1">
        <f>HYPERLINK("http://www.twitter.com/NathanBLawrence/status/993276374264766464", "993276374264766464")</f>
        <v/>
      </c>
      <c r="B1352" s="2" t="n">
        <v>43226.99208333333</v>
      </c>
      <c r="C1352" t="n">
        <v>0</v>
      </c>
      <c r="D1352" t="n">
        <v>1461</v>
      </c>
      <c r="E1352" t="s">
        <v>1362</v>
      </c>
      <c r="F1352" t="s"/>
      <c r="G1352" t="s"/>
      <c r="H1352" t="s"/>
      <c r="I1352" t="s"/>
      <c r="J1352" t="n">
        <v>0.5266999999999999</v>
      </c>
      <c r="K1352" t="n">
        <v>0</v>
      </c>
      <c r="L1352" t="n">
        <v>0.871</v>
      </c>
      <c r="M1352" t="n">
        <v>0.129</v>
      </c>
    </row>
    <row r="1353" spans="1:13">
      <c r="A1353" s="1">
        <f>HYPERLINK("http://www.twitter.com/NathanBLawrence/status/993276261450600448", "993276261450600448")</f>
        <v/>
      </c>
      <c r="B1353" s="2" t="n">
        <v>43226.99177083333</v>
      </c>
      <c r="C1353" t="n">
        <v>0</v>
      </c>
      <c r="D1353" t="n">
        <v>1552</v>
      </c>
      <c r="E1353" t="s">
        <v>1363</v>
      </c>
      <c r="F1353" t="s"/>
      <c r="G1353" t="s"/>
      <c r="H1353" t="s"/>
      <c r="I1353" t="s"/>
      <c r="J1353" t="n">
        <v>0</v>
      </c>
      <c r="K1353" t="n">
        <v>0</v>
      </c>
      <c r="L1353" t="n">
        <v>1</v>
      </c>
      <c r="M1353" t="n">
        <v>0</v>
      </c>
    </row>
    <row r="1354" spans="1:13">
      <c r="A1354" s="1">
        <f>HYPERLINK("http://www.twitter.com/NathanBLawrence/status/993275884357476353", "993275884357476353")</f>
        <v/>
      </c>
      <c r="B1354" s="2" t="n">
        <v>43226.99072916667</v>
      </c>
      <c r="C1354" t="n">
        <v>0</v>
      </c>
      <c r="D1354" t="n">
        <v>12</v>
      </c>
      <c r="E1354" t="s">
        <v>1364</v>
      </c>
      <c r="F1354" t="s"/>
      <c r="G1354" t="s"/>
      <c r="H1354" t="s"/>
      <c r="I1354" t="s"/>
      <c r="J1354" t="n">
        <v>0</v>
      </c>
      <c r="K1354" t="n">
        <v>0</v>
      </c>
      <c r="L1354" t="n">
        <v>1</v>
      </c>
      <c r="M1354" t="n">
        <v>0</v>
      </c>
    </row>
    <row r="1355" spans="1:13">
      <c r="A1355" s="1">
        <f>HYPERLINK("http://www.twitter.com/NathanBLawrence/status/993275735266734081", "993275735266734081")</f>
        <v/>
      </c>
      <c r="B1355" s="2" t="n">
        <v>43226.99032407408</v>
      </c>
      <c r="C1355" t="n">
        <v>0</v>
      </c>
      <c r="D1355" t="n">
        <v>3521</v>
      </c>
      <c r="E1355" t="s">
        <v>1365</v>
      </c>
      <c r="F1355" t="s"/>
      <c r="G1355" t="s"/>
      <c r="H1355" t="s"/>
      <c r="I1355" t="s"/>
      <c r="J1355" t="n">
        <v>0</v>
      </c>
      <c r="K1355" t="n">
        <v>0</v>
      </c>
      <c r="L1355" t="n">
        <v>1</v>
      </c>
      <c r="M1355" t="n">
        <v>0</v>
      </c>
    </row>
    <row r="1356" spans="1:13">
      <c r="A1356" s="1">
        <f>HYPERLINK("http://www.twitter.com/NathanBLawrence/status/993275639313698816", "993275639313698816")</f>
        <v/>
      </c>
      <c r="B1356" s="2" t="n">
        <v>43226.99005787037</v>
      </c>
      <c r="C1356" t="n">
        <v>0</v>
      </c>
      <c r="D1356" t="n">
        <v>1532</v>
      </c>
      <c r="E1356" t="s">
        <v>1366</v>
      </c>
      <c r="F1356" t="s"/>
      <c r="G1356" t="s"/>
      <c r="H1356" t="s"/>
      <c r="I1356" t="s"/>
      <c r="J1356" t="n">
        <v>-0.7707000000000001</v>
      </c>
      <c r="K1356" t="n">
        <v>0.251</v>
      </c>
      <c r="L1356" t="n">
        <v>0.749</v>
      </c>
      <c r="M1356" t="n">
        <v>0</v>
      </c>
    </row>
    <row r="1357" spans="1:13">
      <c r="A1357" s="1">
        <f>HYPERLINK("http://www.twitter.com/NathanBLawrence/status/993275568014708737", "993275568014708737")</f>
        <v/>
      </c>
      <c r="B1357" s="2" t="n">
        <v>43226.98986111111</v>
      </c>
      <c r="C1357" t="n">
        <v>0</v>
      </c>
      <c r="D1357" t="n">
        <v>269</v>
      </c>
      <c r="E1357" t="s">
        <v>1367</v>
      </c>
      <c r="F1357" t="s"/>
      <c r="G1357" t="s"/>
      <c r="H1357" t="s"/>
      <c r="I1357" t="s"/>
      <c r="J1357" t="n">
        <v>0.25</v>
      </c>
      <c r="K1357" t="n">
        <v>0</v>
      </c>
      <c r="L1357" t="n">
        <v>0.905</v>
      </c>
      <c r="M1357" t="n">
        <v>0.095</v>
      </c>
    </row>
    <row r="1358" spans="1:13">
      <c r="A1358" s="1">
        <f>HYPERLINK("http://www.twitter.com/NathanBLawrence/status/993275479170994176", "993275479170994176")</f>
        <v/>
      </c>
      <c r="B1358" s="2" t="n">
        <v>43226.98961805556</v>
      </c>
      <c r="C1358" t="n">
        <v>0</v>
      </c>
      <c r="D1358" t="n">
        <v>759</v>
      </c>
      <c r="E1358" t="s">
        <v>1368</v>
      </c>
      <c r="F1358" t="s"/>
      <c r="G1358" t="s"/>
      <c r="H1358" t="s"/>
      <c r="I1358" t="s"/>
      <c r="J1358" t="n">
        <v>0.4019</v>
      </c>
      <c r="K1358" t="n">
        <v>0.078</v>
      </c>
      <c r="L1358" t="n">
        <v>0.735</v>
      </c>
      <c r="M1358" t="n">
        <v>0.188</v>
      </c>
    </row>
    <row r="1359" spans="1:13">
      <c r="A1359" s="1">
        <f>HYPERLINK("http://www.twitter.com/NathanBLawrence/status/993275427597799424", "993275427597799424")</f>
        <v/>
      </c>
      <c r="B1359" s="2" t="n">
        <v>43226.98946759259</v>
      </c>
      <c r="C1359" t="n">
        <v>0</v>
      </c>
      <c r="D1359" t="n">
        <v>1194</v>
      </c>
      <c r="E1359" t="s">
        <v>1369</v>
      </c>
      <c r="F1359" t="s"/>
      <c r="G1359" t="s"/>
      <c r="H1359" t="s"/>
      <c r="I1359" t="s"/>
      <c r="J1359" t="n">
        <v>0</v>
      </c>
      <c r="K1359" t="n">
        <v>0</v>
      </c>
      <c r="L1359" t="n">
        <v>1</v>
      </c>
      <c r="M1359" t="n">
        <v>0</v>
      </c>
    </row>
    <row r="1360" spans="1:13">
      <c r="A1360" s="1">
        <f>HYPERLINK("http://www.twitter.com/NathanBLawrence/status/993275378465693696", "993275378465693696")</f>
        <v/>
      </c>
      <c r="B1360" s="2" t="n">
        <v>43226.98934027777</v>
      </c>
      <c r="C1360" t="n">
        <v>0</v>
      </c>
      <c r="D1360" t="n">
        <v>3853</v>
      </c>
      <c r="E1360" t="s">
        <v>1370</v>
      </c>
      <c r="F1360" t="s"/>
      <c r="G1360" t="s"/>
      <c r="H1360" t="s"/>
      <c r="I1360" t="s"/>
      <c r="J1360" t="n">
        <v>-0.4404</v>
      </c>
      <c r="K1360" t="n">
        <v>0.146</v>
      </c>
      <c r="L1360" t="n">
        <v>0.854</v>
      </c>
      <c r="M1360" t="n">
        <v>0</v>
      </c>
    </row>
    <row r="1361" spans="1:13">
      <c r="A1361" s="1">
        <f>HYPERLINK("http://www.twitter.com/NathanBLawrence/status/993275336203948032", "993275336203948032")</f>
        <v/>
      </c>
      <c r="B1361" s="2" t="n">
        <v>43226.98921296297</v>
      </c>
      <c r="C1361" t="n">
        <v>0</v>
      </c>
      <c r="D1361" t="n">
        <v>14758</v>
      </c>
      <c r="E1361" t="s">
        <v>1371</v>
      </c>
      <c r="F1361" t="s"/>
      <c r="G1361" t="s"/>
      <c r="H1361" t="s"/>
      <c r="I1361" t="s"/>
      <c r="J1361" t="n">
        <v>-0.9022</v>
      </c>
      <c r="K1361" t="n">
        <v>0.41</v>
      </c>
      <c r="L1361" t="n">
        <v>0.59</v>
      </c>
      <c r="M1361" t="n">
        <v>0</v>
      </c>
    </row>
    <row r="1362" spans="1:13">
      <c r="A1362" s="1">
        <f>HYPERLINK("http://www.twitter.com/NathanBLawrence/status/993275224270495744", "993275224270495744")</f>
        <v/>
      </c>
      <c r="B1362" s="2" t="n">
        <v>43226.98891203704</v>
      </c>
      <c r="C1362" t="n">
        <v>0</v>
      </c>
      <c r="D1362" t="n">
        <v>270</v>
      </c>
      <c r="E1362" t="s">
        <v>1372</v>
      </c>
      <c r="F1362">
        <f>HYPERLINK("http://pbs.twimg.com/media/DcitSynU0AAB3mp.jpg", "http://pbs.twimg.com/media/DcitSynU0AAB3mp.jpg")</f>
        <v/>
      </c>
      <c r="G1362" t="s"/>
      <c r="H1362" t="s"/>
      <c r="I1362" t="s"/>
      <c r="J1362" t="n">
        <v>-0.5859</v>
      </c>
      <c r="K1362" t="n">
        <v>0.352</v>
      </c>
      <c r="L1362" t="n">
        <v>0.648</v>
      </c>
      <c r="M1362" t="n">
        <v>0</v>
      </c>
    </row>
    <row r="1363" spans="1:13">
      <c r="A1363" s="1">
        <f>HYPERLINK("http://www.twitter.com/NathanBLawrence/status/993275198186147840", "993275198186147840")</f>
        <v/>
      </c>
      <c r="B1363" s="2" t="n">
        <v>43226.98884259259</v>
      </c>
      <c r="C1363" t="n">
        <v>0</v>
      </c>
      <c r="D1363" t="n">
        <v>1927</v>
      </c>
      <c r="E1363" t="s">
        <v>1373</v>
      </c>
      <c r="F1363" t="s"/>
      <c r="G1363" t="s"/>
      <c r="H1363" t="s"/>
      <c r="I1363" t="s"/>
      <c r="J1363" t="n">
        <v>-0.4767</v>
      </c>
      <c r="K1363" t="n">
        <v>0.15</v>
      </c>
      <c r="L1363" t="n">
        <v>0.793</v>
      </c>
      <c r="M1363" t="n">
        <v>0.057</v>
      </c>
    </row>
    <row r="1364" spans="1:13">
      <c r="A1364" s="1">
        <f>HYPERLINK("http://www.twitter.com/NathanBLawrence/status/993275114383925248", "993275114383925248")</f>
        <v/>
      </c>
      <c r="B1364" s="2" t="n">
        <v>43226.98861111111</v>
      </c>
      <c r="C1364" t="n">
        <v>0</v>
      </c>
      <c r="D1364" t="n">
        <v>7029</v>
      </c>
      <c r="E1364" t="s">
        <v>1374</v>
      </c>
      <c r="F1364" t="s"/>
      <c r="G1364" t="s"/>
      <c r="H1364" t="s"/>
      <c r="I1364" t="s"/>
      <c r="J1364" t="n">
        <v>0.6771</v>
      </c>
      <c r="K1364" t="n">
        <v>0</v>
      </c>
      <c r="L1364" t="n">
        <v>0.8120000000000001</v>
      </c>
      <c r="M1364" t="n">
        <v>0.188</v>
      </c>
    </row>
    <row r="1365" spans="1:13">
      <c r="A1365" s="1">
        <f>HYPERLINK("http://www.twitter.com/NathanBLawrence/status/993275036587970560", "993275036587970560")</f>
        <v/>
      </c>
      <c r="B1365" s="2" t="n">
        <v>43226.9883912037</v>
      </c>
      <c r="C1365" t="n">
        <v>0</v>
      </c>
      <c r="D1365" t="n">
        <v>5233</v>
      </c>
      <c r="E1365" t="s">
        <v>1375</v>
      </c>
      <c r="F1365" t="s"/>
      <c r="G1365" t="s"/>
      <c r="H1365" t="s"/>
      <c r="I1365" t="s"/>
      <c r="J1365" t="n">
        <v>-0.9024</v>
      </c>
      <c r="K1365" t="n">
        <v>0.395</v>
      </c>
      <c r="L1365" t="n">
        <v>0.605</v>
      </c>
      <c r="M1365" t="n">
        <v>0</v>
      </c>
    </row>
    <row r="1366" spans="1:13">
      <c r="A1366" s="1">
        <f>HYPERLINK("http://www.twitter.com/NathanBLawrence/status/993274944946606081", "993274944946606081")</f>
        <v/>
      </c>
      <c r="B1366" s="2" t="n">
        <v>43226.98813657407</v>
      </c>
      <c r="C1366" t="n">
        <v>0</v>
      </c>
      <c r="D1366" t="n">
        <v>21</v>
      </c>
      <c r="E1366" t="s">
        <v>1376</v>
      </c>
      <c r="F1366">
        <f>HYPERLINK("http://pbs.twimg.com/media/Dci2Y-3WAAEIP2w.jpg", "http://pbs.twimg.com/media/Dci2Y-3WAAEIP2w.jpg")</f>
        <v/>
      </c>
      <c r="G1366" t="s"/>
      <c r="H1366" t="s"/>
      <c r="I1366" t="s"/>
      <c r="J1366" t="n">
        <v>0.3182</v>
      </c>
      <c r="K1366" t="n">
        <v>0.079</v>
      </c>
      <c r="L1366" t="n">
        <v>0.758</v>
      </c>
      <c r="M1366" t="n">
        <v>0.162</v>
      </c>
    </row>
    <row r="1367" spans="1:13">
      <c r="A1367" s="1">
        <f>HYPERLINK("http://www.twitter.com/NathanBLawrence/status/993274863199707136", "993274863199707136")</f>
        <v/>
      </c>
      <c r="B1367" s="2" t="n">
        <v>43226.98791666667</v>
      </c>
      <c r="C1367" t="n">
        <v>0</v>
      </c>
      <c r="D1367" t="n">
        <v>5566</v>
      </c>
      <c r="E1367" t="s">
        <v>1377</v>
      </c>
      <c r="F1367" t="s"/>
      <c r="G1367" t="s"/>
      <c r="H1367" t="s"/>
      <c r="I1367" t="s"/>
      <c r="J1367" t="n">
        <v>0</v>
      </c>
      <c r="K1367" t="n">
        <v>0</v>
      </c>
      <c r="L1367" t="n">
        <v>1</v>
      </c>
      <c r="M1367" t="n">
        <v>0</v>
      </c>
    </row>
    <row r="1368" spans="1:13">
      <c r="A1368" s="1">
        <f>HYPERLINK("http://www.twitter.com/NathanBLawrence/status/993266286305013760", "993266286305013760")</f>
        <v/>
      </c>
      <c r="B1368" s="2" t="n">
        <v>43226.96424768519</v>
      </c>
      <c r="C1368" t="n">
        <v>0</v>
      </c>
      <c r="D1368" t="n">
        <v>405</v>
      </c>
      <c r="E1368" t="s">
        <v>1378</v>
      </c>
      <c r="F1368" t="s"/>
      <c r="G1368" t="s"/>
      <c r="H1368" t="s"/>
      <c r="I1368" t="s"/>
      <c r="J1368" t="n">
        <v>0</v>
      </c>
      <c r="K1368" t="n">
        <v>0</v>
      </c>
      <c r="L1368" t="n">
        <v>1</v>
      </c>
      <c r="M1368" t="n">
        <v>0</v>
      </c>
    </row>
    <row r="1369" spans="1:13">
      <c r="A1369" s="1">
        <f>HYPERLINK("http://www.twitter.com/NathanBLawrence/status/993266184186347520", "993266184186347520")</f>
        <v/>
      </c>
      <c r="B1369" s="2" t="n">
        <v>43226.96395833333</v>
      </c>
      <c r="C1369" t="n">
        <v>0</v>
      </c>
      <c r="D1369" t="n">
        <v>979</v>
      </c>
      <c r="E1369" t="s">
        <v>1379</v>
      </c>
      <c r="F1369">
        <f>HYPERLINK("https://video.twimg.com/ext_tw_video/993248554503188480/pu/vid/720x720/3-LoN_B6rjWfAd4w.mp4?tag=3", "https://video.twimg.com/ext_tw_video/993248554503188480/pu/vid/720x720/3-LoN_B6rjWfAd4w.mp4?tag=3")</f>
        <v/>
      </c>
      <c r="G1369" t="s"/>
      <c r="H1369" t="s"/>
      <c r="I1369" t="s"/>
      <c r="J1369" t="n">
        <v>0</v>
      </c>
      <c r="K1369" t="n">
        <v>0</v>
      </c>
      <c r="L1369" t="n">
        <v>1</v>
      </c>
      <c r="M1369" t="n">
        <v>0</v>
      </c>
    </row>
    <row r="1370" spans="1:13">
      <c r="A1370" s="1">
        <f>HYPERLINK("http://www.twitter.com/NathanBLawrence/status/993266031383728130", "993266031383728130")</f>
        <v/>
      </c>
      <c r="B1370" s="2" t="n">
        <v>43226.96354166666</v>
      </c>
      <c r="C1370" t="n">
        <v>0</v>
      </c>
      <c r="D1370" t="n">
        <v>61</v>
      </c>
      <c r="E1370" t="s">
        <v>1380</v>
      </c>
      <c r="F1370" t="s"/>
      <c r="G1370" t="s"/>
      <c r="H1370" t="s"/>
      <c r="I1370" t="s"/>
      <c r="J1370" t="n">
        <v>0</v>
      </c>
      <c r="K1370" t="n">
        <v>0</v>
      </c>
      <c r="L1370" t="n">
        <v>1</v>
      </c>
      <c r="M1370" t="n">
        <v>0</v>
      </c>
    </row>
    <row r="1371" spans="1:13">
      <c r="A1371" s="1">
        <f>HYPERLINK("http://www.twitter.com/NathanBLawrence/status/993266013658431489", "993266013658431489")</f>
        <v/>
      </c>
      <c r="B1371" s="2" t="n">
        <v>43226.96349537037</v>
      </c>
      <c r="C1371" t="n">
        <v>0</v>
      </c>
      <c r="D1371" t="n">
        <v>136</v>
      </c>
      <c r="E1371" t="s">
        <v>1381</v>
      </c>
      <c r="F1371" t="s"/>
      <c r="G1371" t="s"/>
      <c r="H1371" t="s"/>
      <c r="I1371" t="s"/>
      <c r="J1371" t="n">
        <v>0.6173999999999999</v>
      </c>
      <c r="K1371" t="n">
        <v>0.187</v>
      </c>
      <c r="L1371" t="n">
        <v>0.555</v>
      </c>
      <c r="M1371" t="n">
        <v>0.258</v>
      </c>
    </row>
    <row r="1372" spans="1:13">
      <c r="A1372" s="1">
        <f>HYPERLINK("http://www.twitter.com/NathanBLawrence/status/993265823962693632", "993265823962693632")</f>
        <v/>
      </c>
      <c r="B1372" s="2" t="n">
        <v>43226.96297453704</v>
      </c>
      <c r="C1372" t="n">
        <v>0</v>
      </c>
      <c r="D1372" t="n">
        <v>1744</v>
      </c>
      <c r="E1372" t="s">
        <v>1382</v>
      </c>
      <c r="F1372" t="s"/>
      <c r="G1372" t="s"/>
      <c r="H1372" t="s"/>
      <c r="I1372" t="s"/>
      <c r="J1372" t="n">
        <v>0</v>
      </c>
      <c r="K1372" t="n">
        <v>0</v>
      </c>
      <c r="L1372" t="n">
        <v>1</v>
      </c>
      <c r="M1372" t="n">
        <v>0</v>
      </c>
    </row>
    <row r="1373" spans="1:13">
      <c r="A1373" s="1">
        <f>HYPERLINK("http://www.twitter.com/NathanBLawrence/status/993265678697156608", "993265678697156608")</f>
        <v/>
      </c>
      <c r="B1373" s="2" t="n">
        <v>43226.96256944445</v>
      </c>
      <c r="C1373" t="n">
        <v>0</v>
      </c>
      <c r="D1373" t="n">
        <v>20</v>
      </c>
      <c r="E1373" t="s">
        <v>1383</v>
      </c>
      <c r="F1373" t="s"/>
      <c r="G1373" t="s"/>
      <c r="H1373" t="s"/>
      <c r="I1373" t="s"/>
      <c r="J1373" t="n">
        <v>-0.3127</v>
      </c>
      <c r="K1373" t="n">
        <v>0.198</v>
      </c>
      <c r="L1373" t="n">
        <v>0.6899999999999999</v>
      </c>
      <c r="M1373" t="n">
        <v>0.111</v>
      </c>
    </row>
    <row r="1374" spans="1:13">
      <c r="A1374" s="1">
        <f>HYPERLINK("http://www.twitter.com/NathanBLawrence/status/993265443421896704", "993265443421896704")</f>
        <v/>
      </c>
      <c r="B1374" s="2" t="n">
        <v>43226.96192129629</v>
      </c>
      <c r="C1374" t="n">
        <v>0</v>
      </c>
      <c r="D1374" t="n">
        <v>1329</v>
      </c>
      <c r="E1374" t="s">
        <v>1384</v>
      </c>
      <c r="F1374" t="s"/>
      <c r="G1374" t="s"/>
      <c r="H1374" t="s"/>
      <c r="I1374" t="s"/>
      <c r="J1374" t="n">
        <v>0.5719</v>
      </c>
      <c r="K1374" t="n">
        <v>0.098</v>
      </c>
      <c r="L1374" t="n">
        <v>0.644</v>
      </c>
      <c r="M1374" t="n">
        <v>0.258</v>
      </c>
    </row>
    <row r="1375" spans="1:13">
      <c r="A1375" s="1">
        <f>HYPERLINK("http://www.twitter.com/NathanBLawrence/status/993265339528966145", "993265339528966145")</f>
        <v/>
      </c>
      <c r="B1375" s="2" t="n">
        <v>43226.96163194445</v>
      </c>
      <c r="C1375" t="n">
        <v>0</v>
      </c>
      <c r="D1375" t="n">
        <v>6499</v>
      </c>
      <c r="E1375" t="s">
        <v>1385</v>
      </c>
      <c r="F1375" t="s"/>
      <c r="G1375" t="s"/>
      <c r="H1375" t="s"/>
      <c r="I1375" t="s"/>
      <c r="J1375" t="n">
        <v>0</v>
      </c>
      <c r="K1375" t="n">
        <v>0</v>
      </c>
      <c r="L1375" t="n">
        <v>1</v>
      </c>
      <c r="M1375" t="n">
        <v>0</v>
      </c>
    </row>
    <row r="1376" spans="1:13">
      <c r="A1376" s="1">
        <f>HYPERLINK("http://www.twitter.com/NathanBLawrence/status/993265248416157696", "993265248416157696")</f>
        <v/>
      </c>
      <c r="B1376" s="2" t="n">
        <v>43226.96137731482</v>
      </c>
      <c r="C1376" t="n">
        <v>0</v>
      </c>
      <c r="D1376" t="n">
        <v>765</v>
      </c>
      <c r="E1376" t="s">
        <v>1386</v>
      </c>
      <c r="F1376">
        <f>HYPERLINK("http://pbs.twimg.com/media/Dci62lTU8AA3MyF.jpg", "http://pbs.twimg.com/media/Dci62lTU8AA3MyF.jpg")</f>
        <v/>
      </c>
      <c r="G1376" t="s"/>
      <c r="H1376" t="s"/>
      <c r="I1376" t="s"/>
      <c r="J1376" t="n">
        <v>-0.3412</v>
      </c>
      <c r="K1376" t="n">
        <v>0.194</v>
      </c>
      <c r="L1376" t="n">
        <v>0.806</v>
      </c>
      <c r="M1376" t="n">
        <v>0</v>
      </c>
    </row>
    <row r="1377" spans="1:13">
      <c r="A1377" s="1">
        <f>HYPERLINK("http://www.twitter.com/NathanBLawrence/status/993264972653182976", "993264972653182976")</f>
        <v/>
      </c>
      <c r="B1377" s="2" t="n">
        <v>43226.960625</v>
      </c>
      <c r="C1377" t="n">
        <v>0</v>
      </c>
      <c r="D1377" t="n">
        <v>5561</v>
      </c>
      <c r="E1377" t="s">
        <v>1387</v>
      </c>
      <c r="F1377" t="s"/>
      <c r="G1377" t="s"/>
      <c r="H1377" t="s"/>
      <c r="I1377" t="s"/>
      <c r="J1377" t="n">
        <v>-0.7096</v>
      </c>
      <c r="K1377" t="n">
        <v>0.247</v>
      </c>
      <c r="L1377" t="n">
        <v>0.753</v>
      </c>
      <c r="M1377" t="n">
        <v>0</v>
      </c>
    </row>
    <row r="1378" spans="1:13">
      <c r="A1378" s="1">
        <f>HYPERLINK("http://www.twitter.com/NathanBLawrence/status/993263358773149696", "993263358773149696")</f>
        <v/>
      </c>
      <c r="B1378" s="2" t="n">
        <v>43226.95616898148</v>
      </c>
      <c r="C1378" t="n">
        <v>0</v>
      </c>
      <c r="D1378" t="n">
        <v>3802</v>
      </c>
      <c r="E1378" t="s">
        <v>1388</v>
      </c>
      <c r="F1378">
        <f>HYPERLINK("https://video.twimg.com/amplify_video/992935191659368448/vid/654x360/PLZQj9t2ReJwG67I.mp4?tag=2", "https://video.twimg.com/amplify_video/992935191659368448/vid/654x360/PLZQj9t2ReJwG67I.mp4?tag=2")</f>
        <v/>
      </c>
      <c r="G1378" t="s"/>
      <c r="H1378" t="s"/>
      <c r="I1378" t="s"/>
      <c r="J1378" t="n">
        <v>0.4588</v>
      </c>
      <c r="K1378" t="n">
        <v>0.077</v>
      </c>
      <c r="L1378" t="n">
        <v>0.735</v>
      </c>
      <c r="M1378" t="n">
        <v>0.188</v>
      </c>
    </row>
    <row r="1379" spans="1:13">
      <c r="A1379" s="1">
        <f>HYPERLINK("http://www.twitter.com/NathanBLawrence/status/993263191428743168", "993263191428743168")</f>
        <v/>
      </c>
      <c r="B1379" s="2" t="n">
        <v>43226.95570601852</v>
      </c>
      <c r="C1379" t="n">
        <v>0</v>
      </c>
      <c r="D1379" t="n">
        <v>1962</v>
      </c>
      <c r="E1379" t="s">
        <v>1389</v>
      </c>
      <c r="F1379">
        <f>HYPERLINK("https://video.twimg.com/ext_tw_video/992500945857732608/pu/vid/1280x720/bqJUs1JdWTGdd92v.mp4?tag=3", "https://video.twimg.com/ext_tw_video/992500945857732608/pu/vid/1280x720/bqJUs1JdWTGdd92v.mp4?tag=3")</f>
        <v/>
      </c>
      <c r="G1379" t="s"/>
      <c r="H1379" t="s"/>
      <c r="I1379" t="s"/>
      <c r="J1379" t="n">
        <v>-0.0538</v>
      </c>
      <c r="K1379" t="n">
        <v>0.131</v>
      </c>
      <c r="L1379" t="n">
        <v>0.745</v>
      </c>
      <c r="M1379" t="n">
        <v>0.124</v>
      </c>
    </row>
    <row r="1380" spans="1:13">
      <c r="A1380" s="1">
        <f>HYPERLINK("http://www.twitter.com/NathanBLawrence/status/993263074403536896", "993263074403536896")</f>
        <v/>
      </c>
      <c r="B1380" s="2" t="n">
        <v>43226.95538194444</v>
      </c>
      <c r="C1380" t="n">
        <v>0</v>
      </c>
      <c r="D1380" t="n">
        <v>1110</v>
      </c>
      <c r="E1380" t="s">
        <v>1390</v>
      </c>
      <c r="F1380">
        <f>HYPERLINK("http://pbs.twimg.com/media/Dcd8ACOVwAAxGUj.jpg", "http://pbs.twimg.com/media/Dcd8ACOVwAAxGUj.jpg")</f>
        <v/>
      </c>
      <c r="G1380" t="s"/>
      <c r="H1380" t="s"/>
      <c r="I1380" t="s"/>
      <c r="J1380" t="n">
        <v>-0.8074</v>
      </c>
      <c r="K1380" t="n">
        <v>0.328</v>
      </c>
      <c r="L1380" t="n">
        <v>0.672</v>
      </c>
      <c r="M1380" t="n">
        <v>0</v>
      </c>
    </row>
    <row r="1381" spans="1:13">
      <c r="A1381" s="1">
        <f>HYPERLINK("http://www.twitter.com/NathanBLawrence/status/993262939237793792", "993262939237793792")</f>
        <v/>
      </c>
      <c r="B1381" s="2" t="n">
        <v>43226.95501157407</v>
      </c>
      <c r="C1381" t="n">
        <v>0</v>
      </c>
      <c r="D1381" t="n">
        <v>5882</v>
      </c>
      <c r="E1381" t="s">
        <v>1391</v>
      </c>
      <c r="F1381" t="s"/>
      <c r="G1381" t="s"/>
      <c r="H1381" t="s"/>
      <c r="I1381" t="s"/>
      <c r="J1381" t="n">
        <v>0</v>
      </c>
      <c r="K1381" t="n">
        <v>0</v>
      </c>
      <c r="L1381" t="n">
        <v>1</v>
      </c>
      <c r="M1381" t="n">
        <v>0</v>
      </c>
    </row>
    <row r="1382" spans="1:13">
      <c r="A1382" s="1">
        <f>HYPERLINK("http://www.twitter.com/NathanBLawrence/status/993262859525079042", "993262859525079042")</f>
        <v/>
      </c>
      <c r="B1382" s="2" t="n">
        <v>43226.95479166666</v>
      </c>
      <c r="C1382" t="n">
        <v>0</v>
      </c>
      <c r="D1382" t="n">
        <v>748</v>
      </c>
      <c r="E1382" t="s">
        <v>1392</v>
      </c>
      <c r="F1382" t="s"/>
      <c r="G1382" t="s"/>
      <c r="H1382" t="s"/>
      <c r="I1382" t="s"/>
      <c r="J1382" t="n">
        <v>0</v>
      </c>
      <c r="K1382" t="n">
        <v>0</v>
      </c>
      <c r="L1382" t="n">
        <v>1</v>
      </c>
      <c r="M1382" t="n">
        <v>0</v>
      </c>
    </row>
    <row r="1383" spans="1:13">
      <c r="A1383" s="1">
        <f>HYPERLINK("http://www.twitter.com/NathanBLawrence/status/993262762183745537", "993262762183745537")</f>
        <v/>
      </c>
      <c r="B1383" s="2" t="n">
        <v>43226.95452546296</v>
      </c>
      <c r="C1383" t="n">
        <v>0</v>
      </c>
      <c r="D1383" t="n">
        <v>5454</v>
      </c>
      <c r="E1383" t="s">
        <v>1393</v>
      </c>
      <c r="F1383" t="s"/>
      <c r="G1383" t="s"/>
      <c r="H1383" t="s"/>
      <c r="I1383" t="s"/>
      <c r="J1383" t="n">
        <v>0.2263</v>
      </c>
      <c r="K1383" t="n">
        <v>0</v>
      </c>
      <c r="L1383" t="n">
        <v>0.924</v>
      </c>
      <c r="M1383" t="n">
        <v>0.076</v>
      </c>
    </row>
    <row r="1384" spans="1:13">
      <c r="A1384" s="1">
        <f>HYPERLINK("http://www.twitter.com/NathanBLawrence/status/993262612153483264", "993262612153483264")</f>
        <v/>
      </c>
      <c r="B1384" s="2" t="n">
        <v>43226.95410879629</v>
      </c>
      <c r="C1384" t="n">
        <v>0</v>
      </c>
      <c r="D1384" t="n">
        <v>309</v>
      </c>
      <c r="E1384" t="s">
        <v>1394</v>
      </c>
      <c r="F1384" t="s"/>
      <c r="G1384" t="s"/>
      <c r="H1384" t="s"/>
      <c r="I1384" t="s"/>
      <c r="J1384" t="n">
        <v>0.5838</v>
      </c>
      <c r="K1384" t="n">
        <v>0.058</v>
      </c>
      <c r="L1384" t="n">
        <v>0.737</v>
      </c>
      <c r="M1384" t="n">
        <v>0.205</v>
      </c>
    </row>
    <row r="1385" spans="1:13">
      <c r="A1385" s="1">
        <f>HYPERLINK("http://www.twitter.com/NathanBLawrence/status/993262141602807809", "993262141602807809")</f>
        <v/>
      </c>
      <c r="B1385" s="2" t="n">
        <v>43226.9528125</v>
      </c>
      <c r="C1385" t="n">
        <v>0</v>
      </c>
      <c r="D1385" t="n">
        <v>13157</v>
      </c>
      <c r="E1385" t="s">
        <v>1395</v>
      </c>
      <c r="F1385" t="s"/>
      <c r="G1385" t="s"/>
      <c r="H1385" t="s"/>
      <c r="I1385" t="s"/>
      <c r="J1385" t="n">
        <v>-0.5423</v>
      </c>
      <c r="K1385" t="n">
        <v>0.226</v>
      </c>
      <c r="L1385" t="n">
        <v>0.679</v>
      </c>
      <c r="M1385" t="n">
        <v>0.094</v>
      </c>
    </row>
    <row r="1386" spans="1:13">
      <c r="A1386" s="1">
        <f>HYPERLINK("http://www.twitter.com/NathanBLawrence/status/993261886320787457", "993261886320787457")</f>
        <v/>
      </c>
      <c r="B1386" s="2" t="n">
        <v>43226.95210648148</v>
      </c>
      <c r="C1386" t="n">
        <v>0</v>
      </c>
      <c r="D1386" t="n">
        <v>16</v>
      </c>
      <c r="E1386" t="s">
        <v>1396</v>
      </c>
      <c r="F1386">
        <f>HYPERLINK("http://pbs.twimg.com/media/Dci_O6dUwAAUi3a.jpg", "http://pbs.twimg.com/media/Dci_O6dUwAAUi3a.jpg")</f>
        <v/>
      </c>
      <c r="G1386" t="s"/>
      <c r="H1386" t="s"/>
      <c r="I1386" t="s"/>
      <c r="J1386" t="n">
        <v>0</v>
      </c>
      <c r="K1386" t="n">
        <v>0</v>
      </c>
      <c r="L1386" t="n">
        <v>1</v>
      </c>
      <c r="M1386" t="n">
        <v>0</v>
      </c>
    </row>
    <row r="1387" spans="1:13">
      <c r="A1387" s="1">
        <f>HYPERLINK("http://www.twitter.com/NathanBLawrence/status/993213951583444992", "993213951583444992")</f>
        <v/>
      </c>
      <c r="B1387" s="2" t="n">
        <v>43226.81982638889</v>
      </c>
      <c r="C1387" t="n">
        <v>0</v>
      </c>
      <c r="D1387" t="n">
        <v>2083</v>
      </c>
      <c r="E1387" t="s">
        <v>1397</v>
      </c>
      <c r="F1387">
        <f>HYPERLINK("http://pbs.twimg.com/media/DcZHZEwX0AAhAK_.jpg", "http://pbs.twimg.com/media/DcZHZEwX0AAhAK_.jpg")</f>
        <v/>
      </c>
      <c r="G1387" t="s"/>
      <c r="H1387" t="s"/>
      <c r="I1387" t="s"/>
      <c r="J1387" t="n">
        <v>0.4448</v>
      </c>
      <c r="K1387" t="n">
        <v>0</v>
      </c>
      <c r="L1387" t="n">
        <v>0.867</v>
      </c>
      <c r="M1387" t="n">
        <v>0.133</v>
      </c>
    </row>
    <row r="1388" spans="1:13">
      <c r="A1388" s="1">
        <f>HYPERLINK("http://www.twitter.com/NathanBLawrence/status/993213608132739073", "993213608132739073")</f>
        <v/>
      </c>
      <c r="B1388" s="2" t="n">
        <v>43226.81887731481</v>
      </c>
      <c r="C1388" t="n">
        <v>0</v>
      </c>
      <c r="D1388" t="n">
        <v>7</v>
      </c>
      <c r="E1388" t="s">
        <v>1398</v>
      </c>
      <c r="F1388" t="s"/>
      <c r="G1388" t="s"/>
      <c r="H1388" t="s"/>
      <c r="I1388" t="s"/>
      <c r="J1388" t="n">
        <v>0</v>
      </c>
      <c r="K1388" t="n">
        <v>0</v>
      </c>
      <c r="L1388" t="n">
        <v>1</v>
      </c>
      <c r="M1388" t="n">
        <v>0</v>
      </c>
    </row>
    <row r="1389" spans="1:13">
      <c r="A1389" s="1">
        <f>HYPERLINK("http://www.twitter.com/NathanBLawrence/status/993213527207837697", "993213527207837697")</f>
        <v/>
      </c>
      <c r="B1389" s="2" t="n">
        <v>43226.81865740741</v>
      </c>
      <c r="C1389" t="n">
        <v>0</v>
      </c>
      <c r="D1389" t="n">
        <v>8620</v>
      </c>
      <c r="E1389" t="s">
        <v>1399</v>
      </c>
      <c r="F1389" t="s"/>
      <c r="G1389" t="s"/>
      <c r="H1389" t="s"/>
      <c r="I1389" t="s"/>
      <c r="J1389" t="n">
        <v>0</v>
      </c>
      <c r="K1389" t="n">
        <v>0</v>
      </c>
      <c r="L1389" t="n">
        <v>1</v>
      </c>
      <c r="M1389" t="n">
        <v>0</v>
      </c>
    </row>
    <row r="1390" spans="1:13">
      <c r="A1390" s="1">
        <f>HYPERLINK("http://www.twitter.com/NathanBLawrence/status/993019403640897537", "993019403640897537")</f>
        <v/>
      </c>
      <c r="B1390" s="2" t="n">
        <v>43226.28297453704</v>
      </c>
      <c r="C1390" t="n">
        <v>1</v>
      </c>
      <c r="D1390" t="n">
        <v>2</v>
      </c>
      <c r="E1390" t="s">
        <v>1400</v>
      </c>
      <c r="F1390" t="s"/>
      <c r="G1390" t="s"/>
      <c r="H1390" t="s"/>
      <c r="I1390" t="s"/>
      <c r="J1390" t="n">
        <v>-0.7184</v>
      </c>
      <c r="K1390" t="n">
        <v>0.28</v>
      </c>
      <c r="L1390" t="n">
        <v>0.72</v>
      </c>
      <c r="M1390" t="n">
        <v>0</v>
      </c>
    </row>
    <row r="1391" spans="1:13">
      <c r="A1391" s="1">
        <f>HYPERLINK("http://www.twitter.com/NathanBLawrence/status/993009635945725953", "993009635945725953")</f>
        <v/>
      </c>
      <c r="B1391" s="2" t="n">
        <v>43226.25603009259</v>
      </c>
      <c r="C1391" t="n">
        <v>0</v>
      </c>
      <c r="D1391" t="n">
        <v>273</v>
      </c>
      <c r="E1391" t="s">
        <v>1401</v>
      </c>
      <c r="F1391">
        <f>HYPERLINK("http://pbs.twimg.com/media/DcUtigBU8AMFbb5.jpg", "http://pbs.twimg.com/media/DcUtigBU8AMFbb5.jpg")</f>
        <v/>
      </c>
      <c r="G1391" t="s"/>
      <c r="H1391" t="s"/>
      <c r="I1391" t="s"/>
      <c r="J1391" t="n">
        <v>-0.3089</v>
      </c>
      <c r="K1391" t="n">
        <v>0.101</v>
      </c>
      <c r="L1391" t="n">
        <v>0.899</v>
      </c>
      <c r="M1391" t="n">
        <v>0</v>
      </c>
    </row>
    <row r="1392" spans="1:13">
      <c r="A1392" s="1">
        <f>HYPERLINK("http://www.twitter.com/NathanBLawrence/status/993009259016142848", "993009259016142848")</f>
        <v/>
      </c>
      <c r="B1392" s="2" t="n">
        <v>43226.25498842593</v>
      </c>
      <c r="C1392" t="n">
        <v>0</v>
      </c>
      <c r="D1392" t="n">
        <v>274</v>
      </c>
      <c r="E1392" t="s">
        <v>1402</v>
      </c>
      <c r="F1392" t="s"/>
      <c r="G1392" t="s"/>
      <c r="H1392" t="s"/>
      <c r="I1392" t="s"/>
      <c r="J1392" t="n">
        <v>-0.6705</v>
      </c>
      <c r="K1392" t="n">
        <v>0.297</v>
      </c>
      <c r="L1392" t="n">
        <v>0.703</v>
      </c>
      <c r="M1392" t="n">
        <v>0</v>
      </c>
    </row>
    <row r="1393" spans="1:13">
      <c r="A1393" s="1">
        <f>HYPERLINK("http://www.twitter.com/NathanBLawrence/status/993008913611030529", "993008913611030529")</f>
        <v/>
      </c>
      <c r="B1393" s="2" t="n">
        <v>43226.25402777778</v>
      </c>
      <c r="C1393" t="n">
        <v>0</v>
      </c>
      <c r="D1393" t="n">
        <v>3</v>
      </c>
      <c r="E1393" t="s">
        <v>1403</v>
      </c>
      <c r="F1393" t="s"/>
      <c r="G1393" t="s"/>
      <c r="H1393" t="s"/>
      <c r="I1393" t="s"/>
      <c r="J1393" t="n">
        <v>0</v>
      </c>
      <c r="K1393" t="n">
        <v>0</v>
      </c>
      <c r="L1393" t="n">
        <v>1</v>
      </c>
      <c r="M1393" t="n">
        <v>0</v>
      </c>
    </row>
    <row r="1394" spans="1:13">
      <c r="A1394" s="1">
        <f>HYPERLINK("http://www.twitter.com/NathanBLawrence/status/993008866139885568", "993008866139885568")</f>
        <v/>
      </c>
      <c r="B1394" s="2" t="n">
        <v>43226.25390046297</v>
      </c>
      <c r="C1394" t="n">
        <v>0</v>
      </c>
      <c r="D1394" t="n">
        <v>7</v>
      </c>
      <c r="E1394" t="s">
        <v>1404</v>
      </c>
      <c r="F1394" t="s"/>
      <c r="G1394" t="s"/>
      <c r="H1394" t="s"/>
      <c r="I1394" t="s"/>
      <c r="J1394" t="n">
        <v>-0.6369</v>
      </c>
      <c r="K1394" t="n">
        <v>0.174</v>
      </c>
      <c r="L1394" t="n">
        <v>0.826</v>
      </c>
      <c r="M1394" t="n">
        <v>0</v>
      </c>
    </row>
    <row r="1395" spans="1:13">
      <c r="A1395" s="1">
        <f>HYPERLINK("http://www.twitter.com/NathanBLawrence/status/993008567715119104", "993008567715119104")</f>
        <v/>
      </c>
      <c r="B1395" s="2" t="n">
        <v>43226.2530787037</v>
      </c>
      <c r="C1395" t="n">
        <v>6</v>
      </c>
      <c r="D1395" t="n">
        <v>4</v>
      </c>
      <c r="E1395" t="s">
        <v>1405</v>
      </c>
      <c r="F1395" t="s"/>
      <c r="G1395" t="s"/>
      <c r="H1395" t="s"/>
      <c r="I1395" t="s"/>
      <c r="J1395" t="n">
        <v>0.4019</v>
      </c>
      <c r="K1395" t="n">
        <v>0</v>
      </c>
      <c r="L1395" t="n">
        <v>0.922</v>
      </c>
      <c r="M1395" t="n">
        <v>0.078</v>
      </c>
    </row>
    <row r="1396" spans="1:13">
      <c r="A1396" s="1">
        <f>HYPERLINK("http://www.twitter.com/NathanBLawrence/status/993008440556449792", "993008440556449792")</f>
        <v/>
      </c>
      <c r="B1396" s="2" t="n">
        <v>43226.25273148148</v>
      </c>
      <c r="C1396" t="n">
        <v>1</v>
      </c>
      <c r="D1396" t="n">
        <v>0</v>
      </c>
      <c r="E1396" t="s">
        <v>1406</v>
      </c>
      <c r="F1396" t="s"/>
      <c r="G1396" t="s"/>
      <c r="H1396" t="s"/>
      <c r="I1396" t="s"/>
      <c r="J1396" t="n">
        <v>0.4019</v>
      </c>
      <c r="K1396" t="n">
        <v>0</v>
      </c>
      <c r="L1396" t="n">
        <v>0.922</v>
      </c>
      <c r="M1396" t="n">
        <v>0.078</v>
      </c>
    </row>
    <row r="1397" spans="1:13">
      <c r="A1397" s="1">
        <f>HYPERLINK("http://www.twitter.com/NathanBLawrence/status/993007695723577344", "993007695723577344")</f>
        <v/>
      </c>
      <c r="B1397" s="2" t="n">
        <v>43226.25067129629</v>
      </c>
      <c r="C1397" t="n">
        <v>3</v>
      </c>
      <c r="D1397" t="n">
        <v>2</v>
      </c>
      <c r="E1397" t="s">
        <v>1407</v>
      </c>
      <c r="F1397" t="s"/>
      <c r="G1397" t="s"/>
      <c r="H1397" t="s"/>
      <c r="I1397" t="s"/>
      <c r="J1397" t="n">
        <v>0</v>
      </c>
      <c r="K1397" t="n">
        <v>0</v>
      </c>
      <c r="L1397" t="n">
        <v>1</v>
      </c>
      <c r="M1397" t="n">
        <v>0</v>
      </c>
    </row>
    <row r="1398" spans="1:13">
      <c r="A1398" s="1">
        <f>HYPERLINK("http://www.twitter.com/NathanBLawrence/status/993005169280352256", "993005169280352256")</f>
        <v/>
      </c>
      <c r="B1398" s="2" t="n">
        <v>43226.2437037037</v>
      </c>
      <c r="C1398" t="n">
        <v>0</v>
      </c>
      <c r="D1398" t="n">
        <v>8045</v>
      </c>
      <c r="E1398" t="s">
        <v>1408</v>
      </c>
      <c r="F1398" t="s"/>
      <c r="G1398" t="s"/>
      <c r="H1398" t="s"/>
      <c r="I1398" t="s"/>
      <c r="J1398" t="n">
        <v>-0.7906</v>
      </c>
      <c r="K1398" t="n">
        <v>0.237</v>
      </c>
      <c r="L1398" t="n">
        <v>0.702</v>
      </c>
      <c r="M1398" t="n">
        <v>0.061</v>
      </c>
    </row>
    <row r="1399" spans="1:13">
      <c r="A1399" s="1">
        <f>HYPERLINK("http://www.twitter.com/NathanBLawrence/status/993005065513287680", "993005065513287680")</f>
        <v/>
      </c>
      <c r="B1399" s="2" t="n">
        <v>43226.24341435185</v>
      </c>
      <c r="C1399" t="n">
        <v>0</v>
      </c>
      <c r="D1399" t="n">
        <v>7</v>
      </c>
      <c r="E1399" t="s">
        <v>1409</v>
      </c>
      <c r="F1399" t="s"/>
      <c r="G1399" t="s"/>
      <c r="H1399" t="s"/>
      <c r="I1399" t="s"/>
      <c r="J1399" t="n">
        <v>0.4404</v>
      </c>
      <c r="K1399" t="n">
        <v>0</v>
      </c>
      <c r="L1399" t="n">
        <v>0.837</v>
      </c>
      <c r="M1399" t="n">
        <v>0.163</v>
      </c>
    </row>
    <row r="1400" spans="1:13">
      <c r="A1400" s="1">
        <f>HYPERLINK("http://www.twitter.com/NathanBLawrence/status/993002331707920385", "993002331707920385")</f>
        <v/>
      </c>
      <c r="B1400" s="2" t="n">
        <v>43226.23586805556</v>
      </c>
      <c r="C1400" t="n">
        <v>0</v>
      </c>
      <c r="D1400" t="n">
        <v>373</v>
      </c>
      <c r="E1400" t="s">
        <v>1410</v>
      </c>
      <c r="F1400" t="s"/>
      <c r="G1400" t="s"/>
      <c r="H1400" t="s"/>
      <c r="I1400" t="s"/>
      <c r="J1400" t="n">
        <v>0</v>
      </c>
      <c r="K1400" t="n">
        <v>0</v>
      </c>
      <c r="L1400" t="n">
        <v>1</v>
      </c>
      <c r="M1400" t="n">
        <v>0</v>
      </c>
    </row>
    <row r="1401" spans="1:13">
      <c r="A1401" s="1">
        <f>HYPERLINK("http://www.twitter.com/NathanBLawrence/status/993002284928790530", "993002284928790530")</f>
        <v/>
      </c>
      <c r="B1401" s="2" t="n">
        <v>43226.23574074074</v>
      </c>
      <c r="C1401" t="n">
        <v>0</v>
      </c>
      <c r="D1401" t="n">
        <v>422</v>
      </c>
      <c r="E1401" t="s">
        <v>1411</v>
      </c>
      <c r="F1401" t="s"/>
      <c r="G1401" t="s"/>
      <c r="H1401" t="s"/>
      <c r="I1401" t="s"/>
      <c r="J1401" t="n">
        <v>0</v>
      </c>
      <c r="K1401" t="n">
        <v>0</v>
      </c>
      <c r="L1401" t="n">
        <v>1</v>
      </c>
      <c r="M1401" t="n">
        <v>0</v>
      </c>
    </row>
    <row r="1402" spans="1:13">
      <c r="A1402" s="1">
        <f>HYPERLINK("http://www.twitter.com/NathanBLawrence/status/993001932087164929", "993001932087164929")</f>
        <v/>
      </c>
      <c r="B1402" s="2" t="n">
        <v>43226.23476851852</v>
      </c>
      <c r="C1402" t="n">
        <v>0</v>
      </c>
      <c r="D1402" t="n">
        <v>1152</v>
      </c>
      <c r="E1402" t="s">
        <v>1412</v>
      </c>
      <c r="F1402" t="s"/>
      <c r="G1402" t="s"/>
      <c r="H1402" t="s"/>
      <c r="I1402" t="s"/>
      <c r="J1402" t="n">
        <v>-0.3612</v>
      </c>
      <c r="K1402" t="n">
        <v>0.111</v>
      </c>
      <c r="L1402" t="n">
        <v>0.889</v>
      </c>
      <c r="M1402" t="n">
        <v>0</v>
      </c>
    </row>
    <row r="1403" spans="1:13">
      <c r="A1403" s="1">
        <f>HYPERLINK("http://www.twitter.com/NathanBLawrence/status/993001783172648961", "993001783172648961")</f>
        <v/>
      </c>
      <c r="B1403" s="2" t="n">
        <v>43226.23435185185</v>
      </c>
      <c r="C1403" t="n">
        <v>0</v>
      </c>
      <c r="D1403" t="n">
        <v>173</v>
      </c>
      <c r="E1403" t="s">
        <v>1413</v>
      </c>
      <c r="F1403" t="s"/>
      <c r="G1403" t="s"/>
      <c r="H1403" t="s"/>
      <c r="I1403" t="s"/>
      <c r="J1403" t="n">
        <v>0</v>
      </c>
      <c r="K1403" t="n">
        <v>0</v>
      </c>
      <c r="L1403" t="n">
        <v>1</v>
      </c>
      <c r="M1403" t="n">
        <v>0</v>
      </c>
    </row>
    <row r="1404" spans="1:13">
      <c r="A1404" s="1">
        <f>HYPERLINK("http://www.twitter.com/NathanBLawrence/status/992996154341187585", "992996154341187585")</f>
        <v/>
      </c>
      <c r="B1404" s="2" t="n">
        <v>43226.21881944445</v>
      </c>
      <c r="C1404" t="n">
        <v>0</v>
      </c>
      <c r="D1404" t="n">
        <v>1675</v>
      </c>
      <c r="E1404" t="s">
        <v>1414</v>
      </c>
      <c r="F1404">
        <f>HYPERLINK("http://pbs.twimg.com/media/DcebcyRV0AAAhW9.jpg", "http://pbs.twimg.com/media/DcebcyRV0AAAhW9.jpg")</f>
        <v/>
      </c>
      <c r="G1404" t="s"/>
      <c r="H1404" t="s"/>
      <c r="I1404" t="s"/>
      <c r="J1404" t="n">
        <v>-0.8875999999999999</v>
      </c>
      <c r="K1404" t="n">
        <v>0.333</v>
      </c>
      <c r="L1404" t="n">
        <v>0.667</v>
      </c>
      <c r="M1404" t="n">
        <v>0</v>
      </c>
    </row>
    <row r="1405" spans="1:13">
      <c r="A1405" s="1">
        <f>HYPERLINK("http://www.twitter.com/NathanBLawrence/status/992995874119733248", "992995874119733248")</f>
        <v/>
      </c>
      <c r="B1405" s="2" t="n">
        <v>43226.21805555555</v>
      </c>
      <c r="C1405" t="n">
        <v>0</v>
      </c>
      <c r="D1405" t="n">
        <v>2705</v>
      </c>
      <c r="E1405" t="s">
        <v>1415</v>
      </c>
      <c r="F1405" t="s"/>
      <c r="G1405" t="s"/>
      <c r="H1405" t="s"/>
      <c r="I1405" t="s"/>
      <c r="J1405" t="n">
        <v>0</v>
      </c>
      <c r="K1405" t="n">
        <v>0</v>
      </c>
      <c r="L1405" t="n">
        <v>1</v>
      </c>
      <c r="M1405" t="n">
        <v>0</v>
      </c>
    </row>
    <row r="1406" spans="1:13">
      <c r="A1406" s="1">
        <f>HYPERLINK("http://www.twitter.com/NathanBLawrence/status/992995784076410880", "992995784076410880")</f>
        <v/>
      </c>
      <c r="B1406" s="2" t="n">
        <v>43226.21780092592</v>
      </c>
      <c r="C1406" t="n">
        <v>0</v>
      </c>
      <c r="D1406" t="n">
        <v>2691</v>
      </c>
      <c r="E1406" t="s">
        <v>1416</v>
      </c>
      <c r="F1406" t="s"/>
      <c r="G1406" t="s"/>
      <c r="H1406" t="s"/>
      <c r="I1406" t="s"/>
      <c r="J1406" t="n">
        <v>-0.2023</v>
      </c>
      <c r="K1406" t="n">
        <v>0.112</v>
      </c>
      <c r="L1406" t="n">
        <v>0.8080000000000001</v>
      </c>
      <c r="M1406" t="n">
        <v>0.081</v>
      </c>
    </row>
    <row r="1407" spans="1:13">
      <c r="A1407" s="1">
        <f>HYPERLINK("http://www.twitter.com/NathanBLawrence/status/992995609970753536", "992995609970753536")</f>
        <v/>
      </c>
      <c r="B1407" s="2" t="n">
        <v>43226.21732638889</v>
      </c>
      <c r="C1407" t="n">
        <v>0</v>
      </c>
      <c r="D1407" t="n">
        <v>2396</v>
      </c>
      <c r="E1407" t="s">
        <v>1417</v>
      </c>
      <c r="F1407">
        <f>HYPERLINK("http://pbs.twimg.com/media/Dcem47YWAAAvT1C.jpg", "http://pbs.twimg.com/media/Dcem47YWAAAvT1C.jpg")</f>
        <v/>
      </c>
      <c r="G1407" t="s"/>
      <c r="H1407" t="s"/>
      <c r="I1407" t="s"/>
      <c r="J1407" t="n">
        <v>-0.861</v>
      </c>
      <c r="K1407" t="n">
        <v>0.398</v>
      </c>
      <c r="L1407" t="n">
        <v>0.523</v>
      </c>
      <c r="M1407" t="n">
        <v>0.078</v>
      </c>
    </row>
    <row r="1408" spans="1:13">
      <c r="A1408" s="1">
        <f>HYPERLINK("http://www.twitter.com/NathanBLawrence/status/992995497274036227", "992995497274036227")</f>
        <v/>
      </c>
      <c r="B1408" s="2" t="n">
        <v>43226.21701388889</v>
      </c>
      <c r="C1408" t="n">
        <v>0</v>
      </c>
      <c r="D1408" t="n">
        <v>133</v>
      </c>
      <c r="E1408" t="s">
        <v>1418</v>
      </c>
      <c r="F1408" t="s"/>
      <c r="G1408" t="s"/>
      <c r="H1408" t="s"/>
      <c r="I1408" t="s"/>
      <c r="J1408" t="n">
        <v>0</v>
      </c>
      <c r="K1408" t="n">
        <v>0</v>
      </c>
      <c r="L1408" t="n">
        <v>1</v>
      </c>
      <c r="M1408" t="n">
        <v>0</v>
      </c>
    </row>
    <row r="1409" spans="1:13">
      <c r="A1409" s="1">
        <f>HYPERLINK("http://www.twitter.com/NathanBLawrence/status/992995277693796354", "992995277693796354")</f>
        <v/>
      </c>
      <c r="B1409" s="2" t="n">
        <v>43226.21640046296</v>
      </c>
      <c r="C1409" t="n">
        <v>0</v>
      </c>
      <c r="D1409" t="n">
        <v>978</v>
      </c>
      <c r="E1409" t="s">
        <v>1419</v>
      </c>
      <c r="F1409" t="s"/>
      <c r="G1409" t="s"/>
      <c r="H1409" t="s"/>
      <c r="I1409" t="s"/>
      <c r="J1409" t="n">
        <v>0.1531</v>
      </c>
      <c r="K1409" t="n">
        <v>0.122</v>
      </c>
      <c r="L1409" t="n">
        <v>0.699</v>
      </c>
      <c r="M1409" t="n">
        <v>0.178</v>
      </c>
    </row>
    <row r="1410" spans="1:13">
      <c r="A1410" s="1">
        <f>HYPERLINK("http://www.twitter.com/NathanBLawrence/status/992995169774387200", "992995169774387200")</f>
        <v/>
      </c>
      <c r="B1410" s="2" t="n">
        <v>43226.21611111111</v>
      </c>
      <c r="C1410" t="n">
        <v>0</v>
      </c>
      <c r="D1410" t="n">
        <v>4510</v>
      </c>
      <c r="E1410" t="s">
        <v>1420</v>
      </c>
      <c r="F1410" t="s"/>
      <c r="G1410" t="s"/>
      <c r="H1410" t="s"/>
      <c r="I1410" t="s"/>
      <c r="J1410" t="n">
        <v>-0.9136</v>
      </c>
      <c r="K1410" t="n">
        <v>0.366</v>
      </c>
      <c r="L1410" t="n">
        <v>0.634</v>
      </c>
      <c r="M1410" t="n">
        <v>0</v>
      </c>
    </row>
    <row r="1411" spans="1:13">
      <c r="A1411" s="1">
        <f>HYPERLINK("http://www.twitter.com/NathanBLawrence/status/992995096327933953", "992995096327933953")</f>
        <v/>
      </c>
      <c r="B1411" s="2" t="n">
        <v>43226.21590277777</v>
      </c>
      <c r="C1411" t="n">
        <v>0</v>
      </c>
      <c r="D1411" t="n">
        <v>4855</v>
      </c>
      <c r="E1411" t="s">
        <v>1421</v>
      </c>
      <c r="F1411" t="s"/>
      <c r="G1411" t="s"/>
      <c r="H1411" t="s"/>
      <c r="I1411" t="s"/>
      <c r="J1411" t="n">
        <v>0.34</v>
      </c>
      <c r="K1411" t="n">
        <v>0</v>
      </c>
      <c r="L1411" t="n">
        <v>0.906</v>
      </c>
      <c r="M1411" t="n">
        <v>0.094</v>
      </c>
    </row>
    <row r="1412" spans="1:13">
      <c r="A1412" s="1">
        <f>HYPERLINK("http://www.twitter.com/NathanBLawrence/status/992995026182356993", "992995026182356993")</f>
        <v/>
      </c>
      <c r="B1412" s="2" t="n">
        <v>43226.21570601852</v>
      </c>
      <c r="C1412" t="n">
        <v>0</v>
      </c>
      <c r="D1412" t="n">
        <v>5</v>
      </c>
      <c r="E1412" t="s">
        <v>1422</v>
      </c>
      <c r="F1412" t="s"/>
      <c r="G1412" t="s"/>
      <c r="H1412" t="s"/>
      <c r="I1412" t="s"/>
      <c r="J1412" t="n">
        <v>-0.4023</v>
      </c>
      <c r="K1412" t="n">
        <v>0.114</v>
      </c>
      <c r="L1412" t="n">
        <v>0.886</v>
      </c>
      <c r="M1412" t="n">
        <v>0</v>
      </c>
    </row>
    <row r="1413" spans="1:13">
      <c r="A1413" s="1">
        <f>HYPERLINK("http://www.twitter.com/NathanBLawrence/status/992994773031047168", "992994773031047168")</f>
        <v/>
      </c>
      <c r="B1413" s="2" t="n">
        <v>43226.21501157407</v>
      </c>
      <c r="C1413" t="n">
        <v>0</v>
      </c>
      <c r="D1413" t="n">
        <v>3845</v>
      </c>
      <c r="E1413" t="s">
        <v>1423</v>
      </c>
      <c r="F1413" t="s"/>
      <c r="G1413" t="s"/>
      <c r="H1413" t="s"/>
      <c r="I1413" t="s"/>
      <c r="J1413" t="n">
        <v>0.7003</v>
      </c>
      <c r="K1413" t="n">
        <v>0</v>
      </c>
      <c r="L1413" t="n">
        <v>0.58</v>
      </c>
      <c r="M1413" t="n">
        <v>0.42</v>
      </c>
    </row>
    <row r="1414" spans="1:13">
      <c r="A1414" s="1">
        <f>HYPERLINK("http://www.twitter.com/NathanBLawrence/status/992994650397982720", "992994650397982720")</f>
        <v/>
      </c>
      <c r="B1414" s="2" t="n">
        <v>43226.21467592593</v>
      </c>
      <c r="C1414" t="n">
        <v>0</v>
      </c>
      <c r="D1414" t="n">
        <v>961</v>
      </c>
      <c r="E1414" t="s">
        <v>1424</v>
      </c>
      <c r="F1414" t="s"/>
      <c r="G1414" t="s"/>
      <c r="H1414" t="s"/>
      <c r="I1414" t="s"/>
      <c r="J1414" t="n">
        <v>0.4767</v>
      </c>
      <c r="K1414" t="n">
        <v>0</v>
      </c>
      <c r="L1414" t="n">
        <v>0.819</v>
      </c>
      <c r="M1414" t="n">
        <v>0.181</v>
      </c>
    </row>
    <row r="1415" spans="1:13">
      <c r="A1415" s="1">
        <f>HYPERLINK("http://www.twitter.com/NathanBLawrence/status/992994576662020097", "992994576662020097")</f>
        <v/>
      </c>
      <c r="B1415" s="2" t="n">
        <v>43226.2144675926</v>
      </c>
      <c r="C1415" t="n">
        <v>0</v>
      </c>
      <c r="D1415" t="n">
        <v>1130</v>
      </c>
      <c r="E1415" t="s">
        <v>1425</v>
      </c>
      <c r="F1415">
        <f>HYPERLINK("https://video.twimg.com/amplify_video/992937225015963648/vid/1280x720/1rcDd9AaXbltaR0T.mp4?tag=2", "https://video.twimg.com/amplify_video/992937225015963648/vid/1280x720/1rcDd9AaXbltaR0T.mp4?tag=2")</f>
        <v/>
      </c>
      <c r="G1415" t="s"/>
      <c r="H1415" t="s"/>
      <c r="I1415" t="s"/>
      <c r="J1415" t="n">
        <v>0</v>
      </c>
      <c r="K1415" t="n">
        <v>0.171</v>
      </c>
      <c r="L1415" t="n">
        <v>0.698</v>
      </c>
      <c r="M1415" t="n">
        <v>0.132</v>
      </c>
    </row>
    <row r="1416" spans="1:13">
      <c r="A1416" s="1">
        <f>HYPERLINK("http://www.twitter.com/NathanBLawrence/status/992994488598650880", "992994488598650880")</f>
        <v/>
      </c>
      <c r="B1416" s="2" t="n">
        <v>43226.21422453703</v>
      </c>
      <c r="C1416" t="n">
        <v>0</v>
      </c>
      <c r="D1416" t="n">
        <v>2531</v>
      </c>
      <c r="E1416" t="s">
        <v>1426</v>
      </c>
      <c r="F1416" t="s"/>
      <c r="G1416" t="s"/>
      <c r="H1416" t="s"/>
      <c r="I1416" t="s"/>
      <c r="J1416" t="n">
        <v>0.5106000000000001</v>
      </c>
      <c r="K1416" t="n">
        <v>0.104</v>
      </c>
      <c r="L1416" t="n">
        <v>0.651</v>
      </c>
      <c r="M1416" t="n">
        <v>0.244</v>
      </c>
    </row>
    <row r="1417" spans="1:13">
      <c r="A1417" s="1">
        <f>HYPERLINK("http://www.twitter.com/NathanBLawrence/status/992994013157314566", "992994013157314566")</f>
        <v/>
      </c>
      <c r="B1417" s="2" t="n">
        <v>43226.21291666666</v>
      </c>
      <c r="C1417" t="n">
        <v>0</v>
      </c>
      <c r="D1417" t="n">
        <v>2136</v>
      </c>
      <c r="E1417" t="s">
        <v>1427</v>
      </c>
      <c r="F1417" t="s"/>
      <c r="G1417" t="s"/>
      <c r="H1417" t="s"/>
      <c r="I1417" t="s"/>
      <c r="J1417" t="n">
        <v>0.3798</v>
      </c>
      <c r="K1417" t="n">
        <v>0.076</v>
      </c>
      <c r="L1417" t="n">
        <v>0.755</v>
      </c>
      <c r="M1417" t="n">
        <v>0.169</v>
      </c>
    </row>
    <row r="1418" spans="1:13">
      <c r="A1418" s="1">
        <f>HYPERLINK("http://www.twitter.com/NathanBLawrence/status/992993909507702784", "992993909507702784")</f>
        <v/>
      </c>
      <c r="B1418" s="2" t="n">
        <v>43226.21262731482</v>
      </c>
      <c r="C1418" t="n">
        <v>0</v>
      </c>
      <c r="D1418" t="n">
        <v>1818</v>
      </c>
      <c r="E1418" t="s">
        <v>1428</v>
      </c>
      <c r="F1418" t="s"/>
      <c r="G1418" t="s"/>
      <c r="H1418" t="s"/>
      <c r="I1418" t="s"/>
      <c r="J1418" t="n">
        <v>0</v>
      </c>
      <c r="K1418" t="n">
        <v>0</v>
      </c>
      <c r="L1418" t="n">
        <v>1</v>
      </c>
      <c r="M1418" t="n">
        <v>0</v>
      </c>
    </row>
    <row r="1419" spans="1:13">
      <c r="A1419" s="1">
        <f>HYPERLINK("http://www.twitter.com/NathanBLawrence/status/992993764909006848", "992993764909006848")</f>
        <v/>
      </c>
      <c r="B1419" s="2" t="n">
        <v>43226.21223379629</v>
      </c>
      <c r="C1419" t="n">
        <v>0</v>
      </c>
      <c r="D1419" t="n">
        <v>9357</v>
      </c>
      <c r="E1419" t="s">
        <v>1429</v>
      </c>
      <c r="F1419" t="s"/>
      <c r="G1419" t="s"/>
      <c r="H1419" t="s"/>
      <c r="I1419" t="s"/>
      <c r="J1419" t="n">
        <v>0.2579</v>
      </c>
      <c r="K1419" t="n">
        <v>0.142</v>
      </c>
      <c r="L1419" t="n">
        <v>0.715</v>
      </c>
      <c r="M1419" t="n">
        <v>0.143</v>
      </c>
    </row>
    <row r="1420" spans="1:13">
      <c r="A1420" s="1">
        <f>HYPERLINK("http://www.twitter.com/NathanBLawrence/status/992993647321726982", "992993647321726982")</f>
        <v/>
      </c>
      <c r="B1420" s="2" t="n">
        <v>43226.21190972222</v>
      </c>
      <c r="C1420" t="n">
        <v>0</v>
      </c>
      <c r="D1420" t="n">
        <v>1064</v>
      </c>
      <c r="E1420" t="s">
        <v>1430</v>
      </c>
      <c r="F1420">
        <f>HYPERLINK("http://pbs.twimg.com/media/Dcek1vLXUAA8bIV.jpg", "http://pbs.twimg.com/media/Dcek1vLXUAA8bIV.jpg")</f>
        <v/>
      </c>
      <c r="G1420" t="s"/>
      <c r="H1420" t="s"/>
      <c r="I1420" t="s"/>
      <c r="J1420" t="n">
        <v>0.824</v>
      </c>
      <c r="K1420" t="n">
        <v>0</v>
      </c>
      <c r="L1420" t="n">
        <v>0.751</v>
      </c>
      <c r="M1420" t="n">
        <v>0.249</v>
      </c>
    </row>
    <row r="1421" spans="1:13">
      <c r="A1421" s="1">
        <f>HYPERLINK("http://www.twitter.com/NathanBLawrence/status/992867557727092736", "992867557727092736")</f>
        <v/>
      </c>
      <c r="B1421" s="2" t="n">
        <v>43225.8639699074</v>
      </c>
      <c r="C1421" t="n">
        <v>1</v>
      </c>
      <c r="D1421" t="n">
        <v>0</v>
      </c>
      <c r="E1421" t="s">
        <v>1431</v>
      </c>
      <c r="F1421" t="s"/>
      <c r="G1421" t="s"/>
      <c r="H1421" t="s"/>
      <c r="I1421" t="s"/>
      <c r="J1421" t="n">
        <v>0.4404</v>
      </c>
      <c r="K1421" t="n">
        <v>0</v>
      </c>
      <c r="L1421" t="n">
        <v>0.633</v>
      </c>
      <c r="M1421" t="n">
        <v>0.367</v>
      </c>
    </row>
    <row r="1422" spans="1:13">
      <c r="A1422" s="1">
        <f>HYPERLINK("http://www.twitter.com/NathanBLawrence/status/992867359936278528", "992867359936278528")</f>
        <v/>
      </c>
      <c r="B1422" s="2" t="n">
        <v>43225.86341435185</v>
      </c>
      <c r="C1422" t="n">
        <v>0</v>
      </c>
      <c r="D1422" t="n">
        <v>889</v>
      </c>
      <c r="E1422" t="s">
        <v>1432</v>
      </c>
      <c r="F1422">
        <f>HYPERLINK("http://pbs.twimg.com/media/Dccxwh9V0AAhGwF.jpg", "http://pbs.twimg.com/media/Dccxwh9V0AAhGwF.jpg")</f>
        <v/>
      </c>
      <c r="G1422" t="s"/>
      <c r="H1422" t="s"/>
      <c r="I1422" t="s"/>
      <c r="J1422" t="n">
        <v>0</v>
      </c>
      <c r="K1422" t="n">
        <v>0</v>
      </c>
      <c r="L1422" t="n">
        <v>1</v>
      </c>
      <c r="M1422" t="n">
        <v>0</v>
      </c>
    </row>
    <row r="1423" spans="1:13">
      <c r="A1423" s="1">
        <f>HYPERLINK("http://www.twitter.com/NathanBLawrence/status/992867098366885888", "992867098366885888")</f>
        <v/>
      </c>
      <c r="B1423" s="2" t="n">
        <v>43225.86269675926</v>
      </c>
      <c r="C1423" t="n">
        <v>0</v>
      </c>
      <c r="D1423" t="n">
        <v>944</v>
      </c>
      <c r="E1423" t="s">
        <v>1433</v>
      </c>
      <c r="F1423">
        <f>HYPERLINK("http://pbs.twimg.com/media/DccwpAyVAAAFsq1.jpg", "http://pbs.twimg.com/media/DccwpAyVAAAFsq1.jpg")</f>
        <v/>
      </c>
      <c r="G1423" t="s"/>
      <c r="H1423" t="s"/>
      <c r="I1423" t="s"/>
      <c r="J1423" t="n">
        <v>0</v>
      </c>
      <c r="K1423" t="n">
        <v>0</v>
      </c>
      <c r="L1423" t="n">
        <v>1</v>
      </c>
      <c r="M1423" t="n">
        <v>0</v>
      </c>
    </row>
    <row r="1424" spans="1:13">
      <c r="A1424" s="1">
        <f>HYPERLINK("http://www.twitter.com/NathanBLawrence/status/992866943324508161", "992866943324508161")</f>
        <v/>
      </c>
      <c r="B1424" s="2" t="n">
        <v>43225.86226851852</v>
      </c>
      <c r="C1424" t="n">
        <v>0</v>
      </c>
      <c r="D1424" t="n">
        <v>540</v>
      </c>
      <c r="E1424" t="s">
        <v>1434</v>
      </c>
      <c r="F1424">
        <f>HYPERLINK("http://pbs.twimg.com/media/DccwAv-V0AEBkjr.jpg", "http://pbs.twimg.com/media/DccwAv-V0AEBkjr.jpg")</f>
        <v/>
      </c>
      <c r="G1424" t="s"/>
      <c r="H1424" t="s"/>
      <c r="I1424" t="s"/>
      <c r="J1424" t="n">
        <v>-0.3089</v>
      </c>
      <c r="K1424" t="n">
        <v>0.106</v>
      </c>
      <c r="L1424" t="n">
        <v>0.894</v>
      </c>
      <c r="M1424" t="n">
        <v>0</v>
      </c>
    </row>
    <row r="1425" spans="1:13">
      <c r="A1425" s="1">
        <f>HYPERLINK("http://www.twitter.com/NathanBLawrence/status/992866896574726145", "992866896574726145")</f>
        <v/>
      </c>
      <c r="B1425" s="2" t="n">
        <v>43225.8621412037</v>
      </c>
      <c r="C1425" t="n">
        <v>0</v>
      </c>
      <c r="D1425" t="n">
        <v>719</v>
      </c>
      <c r="E1425" t="s">
        <v>1435</v>
      </c>
      <c r="F1425">
        <f>HYPERLINK("http://pbs.twimg.com/media/DccuoTHVQAAceLX.jpg", "http://pbs.twimg.com/media/DccuoTHVQAAceLX.jpg")</f>
        <v/>
      </c>
      <c r="G1425" t="s"/>
      <c r="H1425" t="s"/>
      <c r="I1425" t="s"/>
      <c r="J1425" t="n">
        <v>0</v>
      </c>
      <c r="K1425" t="n">
        <v>0</v>
      </c>
      <c r="L1425" t="n">
        <v>1</v>
      </c>
      <c r="M1425" t="n">
        <v>0</v>
      </c>
    </row>
    <row r="1426" spans="1:13">
      <c r="A1426" s="1">
        <f>HYPERLINK("http://www.twitter.com/NathanBLawrence/status/992866801577902080", "992866801577902080")</f>
        <v/>
      </c>
      <c r="B1426" s="2" t="n">
        <v>43225.861875</v>
      </c>
      <c r="C1426" t="n">
        <v>0</v>
      </c>
      <c r="D1426" t="n">
        <v>602</v>
      </c>
      <c r="E1426" t="s">
        <v>1436</v>
      </c>
      <c r="F1426">
        <f>HYPERLINK("http://pbs.twimg.com/media/DcctwC4V4AA3JJ0.jpg", "http://pbs.twimg.com/media/DcctwC4V4AA3JJ0.jpg")</f>
        <v/>
      </c>
      <c r="G1426" t="s"/>
      <c r="H1426" t="s"/>
      <c r="I1426" t="s"/>
      <c r="J1426" t="n">
        <v>0</v>
      </c>
      <c r="K1426" t="n">
        <v>0</v>
      </c>
      <c r="L1426" t="n">
        <v>1</v>
      </c>
      <c r="M1426" t="n">
        <v>0</v>
      </c>
    </row>
    <row r="1427" spans="1:13">
      <c r="A1427" s="1">
        <f>HYPERLINK("http://www.twitter.com/NathanBLawrence/status/992866653707751424", "992866653707751424")</f>
        <v/>
      </c>
      <c r="B1427" s="2" t="n">
        <v>43225.86146990741</v>
      </c>
      <c r="C1427" t="n">
        <v>0</v>
      </c>
      <c r="D1427" t="n">
        <v>543</v>
      </c>
      <c r="E1427" t="s">
        <v>1437</v>
      </c>
      <c r="F1427">
        <f>HYPERLINK("http://pbs.twimg.com/media/DcctKBvVwAAWELP.jpg", "http://pbs.twimg.com/media/DcctKBvVwAAWELP.jpg")</f>
        <v/>
      </c>
      <c r="G1427" t="s"/>
      <c r="H1427" t="s"/>
      <c r="I1427" t="s"/>
      <c r="J1427" t="n">
        <v>0</v>
      </c>
      <c r="K1427" t="n">
        <v>0</v>
      </c>
      <c r="L1427" t="n">
        <v>1</v>
      </c>
      <c r="M1427" t="n">
        <v>0</v>
      </c>
    </row>
    <row r="1428" spans="1:13">
      <c r="A1428" s="1">
        <f>HYPERLINK("http://www.twitter.com/NathanBLawrence/status/992866454050455552", "992866454050455552")</f>
        <v/>
      </c>
      <c r="B1428" s="2" t="n">
        <v>43225.86091435186</v>
      </c>
      <c r="C1428" t="n">
        <v>0</v>
      </c>
      <c r="D1428" t="n">
        <v>531</v>
      </c>
      <c r="E1428" t="s">
        <v>1438</v>
      </c>
      <c r="F1428">
        <f>HYPERLINK("http://pbs.twimg.com/media/DccsVjrV4AEoY9n.jpg", "http://pbs.twimg.com/media/DccsVjrV4AEoY9n.jpg")</f>
        <v/>
      </c>
      <c r="G1428" t="s"/>
      <c r="H1428" t="s"/>
      <c r="I1428" t="s"/>
      <c r="J1428" t="n">
        <v>0</v>
      </c>
      <c r="K1428" t="n">
        <v>0</v>
      </c>
      <c r="L1428" t="n">
        <v>1</v>
      </c>
      <c r="M1428" t="n">
        <v>0</v>
      </c>
    </row>
    <row r="1429" spans="1:13">
      <c r="A1429" s="1">
        <f>HYPERLINK("http://www.twitter.com/NathanBLawrence/status/992866329613889538", "992866329613889538")</f>
        <v/>
      </c>
      <c r="B1429" s="2" t="n">
        <v>43225.8605787037</v>
      </c>
      <c r="C1429" t="n">
        <v>0</v>
      </c>
      <c r="D1429" t="n">
        <v>929</v>
      </c>
      <c r="E1429" t="s">
        <v>1439</v>
      </c>
      <c r="F1429">
        <f>HYPERLINK("http://pbs.twimg.com/media/DccrtIEV4AArd3e.jpg", "http://pbs.twimg.com/media/DccrtIEV4AArd3e.jpg")</f>
        <v/>
      </c>
      <c r="G1429" t="s"/>
      <c r="H1429" t="s"/>
      <c r="I1429" t="s"/>
      <c r="J1429" t="n">
        <v>0.6478</v>
      </c>
      <c r="K1429" t="n">
        <v>0</v>
      </c>
      <c r="L1429" t="n">
        <v>0.782</v>
      </c>
      <c r="M1429" t="n">
        <v>0.218</v>
      </c>
    </row>
    <row r="1430" spans="1:13">
      <c r="A1430" s="1">
        <f>HYPERLINK("http://www.twitter.com/NathanBLawrence/status/992866235783135232", "992866235783135232")</f>
        <v/>
      </c>
      <c r="B1430" s="2" t="n">
        <v>43225.8603125</v>
      </c>
      <c r="C1430" t="n">
        <v>0</v>
      </c>
      <c r="D1430" t="n">
        <v>795</v>
      </c>
      <c r="E1430" t="s">
        <v>1440</v>
      </c>
      <c r="F1430">
        <f>HYPERLINK("http://pbs.twimg.com/media/DccrCFJU0AAscGB.jpg", "http://pbs.twimg.com/media/DccrCFJU0AAscGB.jpg")</f>
        <v/>
      </c>
      <c r="G1430" t="s"/>
      <c r="H1430" t="s"/>
      <c r="I1430" t="s"/>
      <c r="J1430" t="n">
        <v>0</v>
      </c>
      <c r="K1430" t="n">
        <v>0</v>
      </c>
      <c r="L1430" t="n">
        <v>1</v>
      </c>
      <c r="M1430" t="n">
        <v>0</v>
      </c>
    </row>
    <row r="1431" spans="1:13">
      <c r="A1431" s="1">
        <f>HYPERLINK("http://www.twitter.com/NathanBLawrence/status/992866172210106368", "992866172210106368")</f>
        <v/>
      </c>
      <c r="B1431" s="2" t="n">
        <v>43225.86013888889</v>
      </c>
      <c r="C1431" t="n">
        <v>0</v>
      </c>
      <c r="D1431" t="n">
        <v>856</v>
      </c>
      <c r="E1431" t="s">
        <v>1441</v>
      </c>
      <c r="F1431">
        <f>HYPERLINK("http://pbs.twimg.com/media/Dccp9RKVQAAVezv.jpg", "http://pbs.twimg.com/media/Dccp9RKVQAAVezv.jpg")</f>
        <v/>
      </c>
      <c r="G1431" t="s"/>
      <c r="H1431" t="s"/>
      <c r="I1431" t="s"/>
      <c r="J1431" t="n">
        <v>0.34</v>
      </c>
      <c r="K1431" t="n">
        <v>0.053</v>
      </c>
      <c r="L1431" t="n">
        <v>0.84</v>
      </c>
      <c r="M1431" t="n">
        <v>0.107</v>
      </c>
    </row>
    <row r="1432" spans="1:13">
      <c r="A1432" s="1">
        <f>HYPERLINK("http://www.twitter.com/NathanBLawrence/status/992866038743089152", "992866038743089152")</f>
        <v/>
      </c>
      <c r="B1432" s="2" t="n">
        <v>43225.85976851852</v>
      </c>
      <c r="C1432" t="n">
        <v>0</v>
      </c>
      <c r="D1432" t="n">
        <v>679</v>
      </c>
      <c r="E1432" t="s">
        <v>1442</v>
      </c>
      <c r="F1432">
        <f>HYPERLINK("http://pbs.twimg.com/media/DccowqLVQAA754k.jpg", "http://pbs.twimg.com/media/DccowqLVQAA754k.jpg")</f>
        <v/>
      </c>
      <c r="G1432" t="s"/>
      <c r="H1432" t="s"/>
      <c r="I1432" t="s"/>
      <c r="J1432" t="n">
        <v>-0.6712</v>
      </c>
      <c r="K1432" t="n">
        <v>0.208</v>
      </c>
      <c r="L1432" t="n">
        <v>0.792</v>
      </c>
      <c r="M1432" t="n">
        <v>0</v>
      </c>
    </row>
    <row r="1433" spans="1:13">
      <c r="A1433" s="1">
        <f>HYPERLINK("http://www.twitter.com/NathanBLawrence/status/992865958430625792", "992865958430625792")</f>
        <v/>
      </c>
      <c r="B1433" s="2" t="n">
        <v>43225.85954861111</v>
      </c>
      <c r="C1433" t="n">
        <v>0</v>
      </c>
      <c r="D1433" t="n">
        <v>563</v>
      </c>
      <c r="E1433" t="s">
        <v>1443</v>
      </c>
      <c r="F1433">
        <f>HYPERLINK("http://pbs.twimg.com/media/DccoULWVQAETWWS.jpg", "http://pbs.twimg.com/media/DccoULWVQAETWWS.jpg")</f>
        <v/>
      </c>
      <c r="G1433" t="s"/>
      <c r="H1433" t="s"/>
      <c r="I1433" t="s"/>
      <c r="J1433" t="n">
        <v>-0.4767</v>
      </c>
      <c r="K1433" t="n">
        <v>0.159</v>
      </c>
      <c r="L1433" t="n">
        <v>0.794</v>
      </c>
      <c r="M1433" t="n">
        <v>0.047</v>
      </c>
    </row>
    <row r="1434" spans="1:13">
      <c r="A1434" s="1">
        <f>HYPERLINK("http://www.twitter.com/NathanBLawrence/status/992865782945103872", "992865782945103872")</f>
        <v/>
      </c>
      <c r="B1434" s="2" t="n">
        <v>43225.8590625</v>
      </c>
      <c r="C1434" t="n">
        <v>0</v>
      </c>
      <c r="D1434" t="n">
        <v>567</v>
      </c>
      <c r="E1434" t="s">
        <v>1444</v>
      </c>
      <c r="F1434">
        <f>HYPERLINK("http://pbs.twimg.com/media/Dccn_LDVwAEGsHC.jpg", "http://pbs.twimg.com/media/Dccn_LDVwAEGsHC.jpg")</f>
        <v/>
      </c>
      <c r="G1434" t="s"/>
      <c r="H1434" t="s"/>
      <c r="I1434" t="s"/>
      <c r="J1434" t="n">
        <v>0</v>
      </c>
      <c r="K1434" t="n">
        <v>0</v>
      </c>
      <c r="L1434" t="n">
        <v>1</v>
      </c>
      <c r="M1434" t="n">
        <v>0</v>
      </c>
    </row>
    <row r="1435" spans="1:13">
      <c r="A1435" s="1">
        <f>HYPERLINK("http://www.twitter.com/NathanBLawrence/status/992865595036131328", "992865595036131328")</f>
        <v/>
      </c>
      <c r="B1435" s="2" t="n">
        <v>43225.85855324074</v>
      </c>
      <c r="C1435" t="n">
        <v>0</v>
      </c>
      <c r="D1435" t="n">
        <v>1202</v>
      </c>
      <c r="E1435" t="s">
        <v>1445</v>
      </c>
      <c r="F1435">
        <f>HYPERLINK("http://pbs.twimg.com/media/DccnB_qU0AAgafV.jpg", "http://pbs.twimg.com/media/DccnB_qU0AAgafV.jpg")</f>
        <v/>
      </c>
      <c r="G1435" t="s"/>
      <c r="H1435" t="s"/>
      <c r="I1435" t="s"/>
      <c r="J1435" t="n">
        <v>-0.0572</v>
      </c>
      <c r="K1435" t="n">
        <v>0.058</v>
      </c>
      <c r="L1435" t="n">
        <v>0.9419999999999999</v>
      </c>
      <c r="M1435" t="n">
        <v>0</v>
      </c>
    </row>
    <row r="1436" spans="1:13">
      <c r="A1436" s="1">
        <f>HYPERLINK("http://www.twitter.com/NathanBLawrence/status/992865532322893824", "992865532322893824")</f>
        <v/>
      </c>
      <c r="B1436" s="2" t="n">
        <v>43225.85837962963</v>
      </c>
      <c r="C1436" t="n">
        <v>0</v>
      </c>
      <c r="D1436" t="n">
        <v>835</v>
      </c>
      <c r="E1436" t="s">
        <v>1446</v>
      </c>
      <c r="F1436">
        <f>HYPERLINK("http://pbs.twimg.com/media/DccmWB0VQAAjTwz.jpg", "http://pbs.twimg.com/media/DccmWB0VQAAjTwz.jpg")</f>
        <v/>
      </c>
      <c r="G1436" t="s"/>
      <c r="H1436" t="s"/>
      <c r="I1436" t="s"/>
      <c r="J1436" t="n">
        <v>-0.3167</v>
      </c>
      <c r="K1436" t="n">
        <v>0.131</v>
      </c>
      <c r="L1436" t="n">
        <v>0.749</v>
      </c>
      <c r="M1436" t="n">
        <v>0.12</v>
      </c>
    </row>
    <row r="1437" spans="1:13">
      <c r="A1437" s="1">
        <f>HYPERLINK("http://www.twitter.com/NathanBLawrence/status/992865453780299776", "992865453780299776")</f>
        <v/>
      </c>
      <c r="B1437" s="2" t="n">
        <v>43225.85815972222</v>
      </c>
      <c r="C1437" t="n">
        <v>0</v>
      </c>
      <c r="D1437" t="n">
        <v>641</v>
      </c>
      <c r="E1437" t="s">
        <v>1447</v>
      </c>
      <c r="F1437">
        <f>HYPERLINK("http://pbs.twimg.com/media/DccmAyjVQAAq5KA.jpg", "http://pbs.twimg.com/media/DccmAyjVQAAq5KA.jpg")</f>
        <v/>
      </c>
      <c r="G1437" t="s"/>
      <c r="H1437" t="s"/>
      <c r="I1437" t="s"/>
      <c r="J1437" t="n">
        <v>0.0772</v>
      </c>
      <c r="K1437" t="n">
        <v>0</v>
      </c>
      <c r="L1437" t="n">
        <v>0.9419999999999999</v>
      </c>
      <c r="M1437" t="n">
        <v>0.058</v>
      </c>
    </row>
    <row r="1438" spans="1:13">
      <c r="A1438" s="1">
        <f>HYPERLINK("http://www.twitter.com/NathanBLawrence/status/992865322989273088", "992865322989273088")</f>
        <v/>
      </c>
      <c r="B1438" s="2" t="n">
        <v>43225.85780092593</v>
      </c>
      <c r="C1438" t="n">
        <v>0</v>
      </c>
      <c r="D1438" t="n">
        <v>699</v>
      </c>
      <c r="E1438" t="s">
        <v>1448</v>
      </c>
      <c r="F1438">
        <f>HYPERLINK("http://pbs.twimg.com/media/DcclsstV0AEjj5A.jpg", "http://pbs.twimg.com/media/DcclsstV0AEjj5A.jpg")</f>
        <v/>
      </c>
      <c r="G1438">
        <f>HYPERLINK("http://pbs.twimg.com/media/Dcclss2U8AAYGVg.jpg", "http://pbs.twimg.com/media/Dcclss2U8AAYGVg.jpg")</f>
        <v/>
      </c>
      <c r="H1438" t="s"/>
      <c r="I1438" t="s"/>
      <c r="J1438" t="n">
        <v>0.2023</v>
      </c>
      <c r="K1438" t="n">
        <v>0</v>
      </c>
      <c r="L1438" t="n">
        <v>0.924</v>
      </c>
      <c r="M1438" t="n">
        <v>0.076</v>
      </c>
    </row>
    <row r="1439" spans="1:13">
      <c r="A1439" s="1">
        <f>HYPERLINK("http://www.twitter.com/NathanBLawrence/status/992865297777414144", "992865297777414144")</f>
        <v/>
      </c>
      <c r="B1439" s="2" t="n">
        <v>43225.85773148148</v>
      </c>
      <c r="C1439" t="n">
        <v>0</v>
      </c>
      <c r="D1439" t="n">
        <v>1086</v>
      </c>
      <c r="E1439" t="s">
        <v>1449</v>
      </c>
      <c r="F1439">
        <f>HYPERLINK("http://pbs.twimg.com/media/DcclFh0V0AAiW-s.jpg", "http://pbs.twimg.com/media/DcclFh0V0AAiW-s.jpg")</f>
        <v/>
      </c>
      <c r="G1439" t="s"/>
      <c r="H1439" t="s"/>
      <c r="I1439" t="s"/>
      <c r="J1439" t="n">
        <v>-0.5859</v>
      </c>
      <c r="K1439" t="n">
        <v>0.147</v>
      </c>
      <c r="L1439" t="n">
        <v>0.853</v>
      </c>
      <c r="M1439" t="n">
        <v>0</v>
      </c>
    </row>
    <row r="1440" spans="1:13">
      <c r="A1440" s="1">
        <f>HYPERLINK("http://www.twitter.com/NathanBLawrence/status/992865250419462145", "992865250419462145")</f>
        <v/>
      </c>
      <c r="B1440" s="2" t="n">
        <v>43225.85759259259</v>
      </c>
      <c r="C1440" t="n">
        <v>0</v>
      </c>
      <c r="D1440" t="n">
        <v>929</v>
      </c>
      <c r="E1440" t="s">
        <v>1450</v>
      </c>
      <c r="F1440">
        <f>HYPERLINK("http://pbs.twimg.com/media/Dcck2c3V4AMgaFW.jpg", "http://pbs.twimg.com/media/Dcck2c3V4AMgaFW.jpg")</f>
        <v/>
      </c>
      <c r="G1440" t="s"/>
      <c r="H1440" t="s"/>
      <c r="I1440" t="s"/>
      <c r="J1440" t="n">
        <v>0.4019</v>
      </c>
      <c r="K1440" t="n">
        <v>0</v>
      </c>
      <c r="L1440" t="n">
        <v>0.891</v>
      </c>
      <c r="M1440" t="n">
        <v>0.109</v>
      </c>
    </row>
    <row r="1441" spans="1:13">
      <c r="A1441" s="1">
        <f>HYPERLINK("http://www.twitter.com/NathanBLawrence/status/992865108891086848", "992865108891086848")</f>
        <v/>
      </c>
      <c r="B1441" s="2" t="n">
        <v>43225.85721064815</v>
      </c>
      <c r="C1441" t="n">
        <v>0</v>
      </c>
      <c r="D1441" t="n">
        <v>836</v>
      </c>
      <c r="E1441" t="s">
        <v>1451</v>
      </c>
      <c r="F1441">
        <f>HYPERLINK("http://pbs.twimg.com/media/DcckguaVAAIVPxW.jpg", "http://pbs.twimg.com/media/DcckguaVAAIVPxW.jpg")</f>
        <v/>
      </c>
      <c r="G1441" t="s"/>
      <c r="H1441" t="s"/>
      <c r="I1441" t="s"/>
      <c r="J1441" t="n">
        <v>0</v>
      </c>
      <c r="K1441" t="n">
        <v>0</v>
      </c>
      <c r="L1441" t="n">
        <v>1</v>
      </c>
      <c r="M1441" t="n">
        <v>0</v>
      </c>
    </row>
    <row r="1442" spans="1:13">
      <c r="A1442" s="1">
        <f>HYPERLINK("http://www.twitter.com/NathanBLawrence/status/992865089307922432", "992865089307922432")</f>
        <v/>
      </c>
      <c r="B1442" s="2" t="n">
        <v>43225.85715277777</v>
      </c>
      <c r="C1442" t="n">
        <v>0</v>
      </c>
      <c r="D1442" t="n">
        <v>1066</v>
      </c>
      <c r="E1442" t="s">
        <v>1452</v>
      </c>
      <c r="F1442">
        <f>HYPERLINK("http://pbs.twimg.com/media/DcckN9kUQAEfQPt.jpg", "http://pbs.twimg.com/media/DcckN9kUQAEfQPt.jpg")</f>
        <v/>
      </c>
      <c r="G1442" t="s"/>
      <c r="H1442" t="s"/>
      <c r="I1442" t="s"/>
      <c r="J1442" t="n">
        <v>0</v>
      </c>
      <c r="K1442" t="n">
        <v>0</v>
      </c>
      <c r="L1442" t="n">
        <v>1</v>
      </c>
      <c r="M1442" t="n">
        <v>0</v>
      </c>
    </row>
    <row r="1443" spans="1:13">
      <c r="A1443" s="1">
        <f>HYPERLINK("http://www.twitter.com/NathanBLawrence/status/992865065714966528", "992865065714966528")</f>
        <v/>
      </c>
      <c r="B1443" s="2" t="n">
        <v>43225.85708333334</v>
      </c>
      <c r="C1443" t="n">
        <v>0</v>
      </c>
      <c r="D1443" t="n">
        <v>841</v>
      </c>
      <c r="E1443" t="s">
        <v>1453</v>
      </c>
      <c r="F1443">
        <f>HYPERLINK("http://pbs.twimg.com/media/Dccj0ZdVAAAJXdt.jpg", "http://pbs.twimg.com/media/Dccj0ZdVAAAJXdt.jpg")</f>
        <v/>
      </c>
      <c r="G1443" t="s"/>
      <c r="H1443" t="s"/>
      <c r="I1443" t="s"/>
      <c r="J1443" t="n">
        <v>-0.5266999999999999</v>
      </c>
      <c r="K1443" t="n">
        <v>0.145</v>
      </c>
      <c r="L1443" t="n">
        <v>0.855</v>
      </c>
      <c r="M1443" t="n">
        <v>0</v>
      </c>
    </row>
    <row r="1444" spans="1:13">
      <c r="A1444" s="1">
        <f>HYPERLINK("http://www.twitter.com/NathanBLawrence/status/992865036245729282", "992865036245729282")</f>
        <v/>
      </c>
      <c r="B1444" s="2" t="n">
        <v>43225.85700231481</v>
      </c>
      <c r="C1444" t="n">
        <v>0</v>
      </c>
      <c r="D1444" t="n">
        <v>4048</v>
      </c>
      <c r="E1444" t="s">
        <v>1454</v>
      </c>
      <c r="F1444">
        <f>HYPERLINK("http://pbs.twimg.com/media/DccjPWGV4AAI7Ie.jpg", "http://pbs.twimg.com/media/DccjPWGV4AAI7Ie.jpg")</f>
        <v/>
      </c>
      <c r="G1444" t="s"/>
      <c r="H1444" t="s"/>
      <c r="I1444" t="s"/>
      <c r="J1444" t="n">
        <v>0</v>
      </c>
      <c r="K1444" t="n">
        <v>0</v>
      </c>
      <c r="L1444" t="n">
        <v>1</v>
      </c>
      <c r="M1444" t="n">
        <v>0</v>
      </c>
    </row>
    <row r="1445" spans="1:13">
      <c r="A1445" s="1">
        <f>HYPERLINK("http://www.twitter.com/NathanBLawrence/status/992864268428107776", "992864268428107776")</f>
        <v/>
      </c>
      <c r="B1445" s="2" t="n">
        <v>43225.85488425926</v>
      </c>
      <c r="C1445" t="n">
        <v>0</v>
      </c>
      <c r="D1445" t="n">
        <v>12</v>
      </c>
      <c r="E1445" t="s">
        <v>1455</v>
      </c>
      <c r="F1445" t="s"/>
      <c r="G1445" t="s"/>
      <c r="H1445" t="s"/>
      <c r="I1445" t="s"/>
      <c r="J1445" t="n">
        <v>0</v>
      </c>
      <c r="K1445" t="n">
        <v>0</v>
      </c>
      <c r="L1445" t="n">
        <v>1</v>
      </c>
      <c r="M1445" t="n">
        <v>0</v>
      </c>
    </row>
    <row r="1446" spans="1:13">
      <c r="A1446" s="1">
        <f>HYPERLINK("http://www.twitter.com/NathanBLawrence/status/992864205450629120", "992864205450629120")</f>
        <v/>
      </c>
      <c r="B1446" s="2" t="n">
        <v>43225.85471064815</v>
      </c>
      <c r="C1446" t="n">
        <v>0</v>
      </c>
      <c r="D1446" t="n">
        <v>394</v>
      </c>
      <c r="E1446" t="s">
        <v>1456</v>
      </c>
      <c r="F1446" t="s"/>
      <c r="G1446" t="s"/>
      <c r="H1446" t="s"/>
      <c r="I1446" t="s"/>
      <c r="J1446" t="n">
        <v>0</v>
      </c>
      <c r="K1446" t="n">
        <v>0</v>
      </c>
      <c r="L1446" t="n">
        <v>1</v>
      </c>
      <c r="M1446" t="n">
        <v>0</v>
      </c>
    </row>
    <row r="1447" spans="1:13">
      <c r="A1447" s="1">
        <f>HYPERLINK("http://www.twitter.com/NathanBLawrence/status/992863398969856000", "992863398969856000")</f>
        <v/>
      </c>
      <c r="B1447" s="2" t="n">
        <v>43225.85248842592</v>
      </c>
      <c r="C1447" t="n">
        <v>0</v>
      </c>
      <c r="D1447" t="n">
        <v>5226</v>
      </c>
      <c r="E1447" t="s">
        <v>1457</v>
      </c>
      <c r="F1447" t="s"/>
      <c r="G1447" t="s"/>
      <c r="H1447" t="s"/>
      <c r="I1447" t="s"/>
      <c r="J1447" t="n">
        <v>0.8519</v>
      </c>
      <c r="K1447" t="n">
        <v>0</v>
      </c>
      <c r="L1447" t="n">
        <v>0.6830000000000001</v>
      </c>
      <c r="M1447" t="n">
        <v>0.317</v>
      </c>
    </row>
    <row r="1448" spans="1:13">
      <c r="A1448" s="1">
        <f>HYPERLINK("http://www.twitter.com/NathanBLawrence/status/992863274709348352", "992863274709348352")</f>
        <v/>
      </c>
      <c r="B1448" s="2" t="n">
        <v>43225.8521412037</v>
      </c>
      <c r="C1448" t="n">
        <v>0</v>
      </c>
      <c r="D1448" t="n">
        <v>3</v>
      </c>
      <c r="E1448" t="s">
        <v>1458</v>
      </c>
      <c r="F1448" t="s"/>
      <c r="G1448" t="s"/>
      <c r="H1448" t="s"/>
      <c r="I1448" t="s"/>
      <c r="J1448" t="n">
        <v>-0.7717000000000001</v>
      </c>
      <c r="K1448" t="n">
        <v>0.325</v>
      </c>
      <c r="L1448" t="n">
        <v>0.675</v>
      </c>
      <c r="M1448" t="n">
        <v>0</v>
      </c>
    </row>
    <row r="1449" spans="1:13">
      <c r="A1449" s="1">
        <f>HYPERLINK("http://www.twitter.com/NathanBLawrence/status/992863188084404224", "992863188084404224")</f>
        <v/>
      </c>
      <c r="B1449" s="2" t="n">
        <v>43225.85190972222</v>
      </c>
      <c r="C1449" t="n">
        <v>0</v>
      </c>
      <c r="D1449" t="n">
        <v>431</v>
      </c>
      <c r="E1449" t="s">
        <v>1459</v>
      </c>
      <c r="F1449" t="s"/>
      <c r="G1449" t="s"/>
      <c r="H1449" t="s"/>
      <c r="I1449" t="s"/>
      <c r="J1449" t="n">
        <v>-0.1531</v>
      </c>
      <c r="K1449" t="n">
        <v>0.108</v>
      </c>
      <c r="L1449" t="n">
        <v>0.8110000000000001</v>
      </c>
      <c r="M1449" t="n">
        <v>0.081</v>
      </c>
    </row>
    <row r="1450" spans="1:13">
      <c r="A1450" s="1">
        <f>HYPERLINK("http://www.twitter.com/NathanBLawrence/status/992862862409281536", "992862862409281536")</f>
        <v/>
      </c>
      <c r="B1450" s="2" t="n">
        <v>43225.85100694445</v>
      </c>
      <c r="C1450" t="n">
        <v>0</v>
      </c>
      <c r="D1450" t="n">
        <v>20</v>
      </c>
      <c r="E1450" t="s">
        <v>1460</v>
      </c>
      <c r="F1450">
        <f>HYPERLINK("http://pbs.twimg.com/media/Dcc2hITU8AAt9jZ.jpg", "http://pbs.twimg.com/media/Dcc2hITU8AAt9jZ.jpg")</f>
        <v/>
      </c>
      <c r="G1450" t="s"/>
      <c r="H1450" t="s"/>
      <c r="I1450" t="s"/>
      <c r="J1450" t="n">
        <v>0.508</v>
      </c>
      <c r="K1450" t="n">
        <v>0</v>
      </c>
      <c r="L1450" t="n">
        <v>0.8100000000000001</v>
      </c>
      <c r="M1450" t="n">
        <v>0.19</v>
      </c>
    </row>
    <row r="1451" spans="1:13">
      <c r="A1451" s="1">
        <f>HYPERLINK("http://www.twitter.com/NathanBLawrence/status/992862406505189376", "992862406505189376")</f>
        <v/>
      </c>
      <c r="B1451" s="2" t="n">
        <v>43225.84974537037</v>
      </c>
      <c r="C1451" t="n">
        <v>0</v>
      </c>
      <c r="D1451" t="n">
        <v>639</v>
      </c>
      <c r="E1451" t="s">
        <v>1461</v>
      </c>
      <c r="F1451" t="s"/>
      <c r="G1451" t="s"/>
      <c r="H1451" t="s"/>
      <c r="I1451" t="s"/>
      <c r="J1451" t="n">
        <v>-0.5266999999999999</v>
      </c>
      <c r="K1451" t="n">
        <v>0.18</v>
      </c>
      <c r="L1451" t="n">
        <v>0.82</v>
      </c>
      <c r="M1451" t="n">
        <v>0</v>
      </c>
    </row>
    <row r="1452" spans="1:13">
      <c r="A1452" s="1">
        <f>HYPERLINK("http://www.twitter.com/NathanBLawrence/status/992862322073911297", "992862322073911297")</f>
        <v/>
      </c>
      <c r="B1452" s="2" t="n">
        <v>43225.84951388889</v>
      </c>
      <c r="C1452" t="n">
        <v>0</v>
      </c>
      <c r="D1452" t="n">
        <v>800</v>
      </c>
      <c r="E1452" t="s">
        <v>1462</v>
      </c>
      <c r="F1452" t="s"/>
      <c r="G1452" t="s"/>
      <c r="H1452" t="s"/>
      <c r="I1452" t="s"/>
      <c r="J1452" t="n">
        <v>-0.6124000000000001</v>
      </c>
      <c r="K1452" t="n">
        <v>0.16</v>
      </c>
      <c r="L1452" t="n">
        <v>0.84</v>
      </c>
      <c r="M1452" t="n">
        <v>0</v>
      </c>
    </row>
    <row r="1453" spans="1:13">
      <c r="A1453" s="1">
        <f>HYPERLINK("http://www.twitter.com/NathanBLawrence/status/992862180847509504", "992862180847509504")</f>
        <v/>
      </c>
      <c r="B1453" s="2" t="n">
        <v>43225.84913194444</v>
      </c>
      <c r="C1453" t="n">
        <v>0</v>
      </c>
      <c r="D1453" t="n">
        <v>146</v>
      </c>
      <c r="E1453" t="s">
        <v>1463</v>
      </c>
      <c r="F1453" t="s"/>
      <c r="G1453" t="s"/>
      <c r="H1453" t="s"/>
      <c r="I1453" t="s"/>
      <c r="J1453" t="n">
        <v>0.3595</v>
      </c>
      <c r="K1453" t="n">
        <v>0.136</v>
      </c>
      <c r="L1453" t="n">
        <v>0.644</v>
      </c>
      <c r="M1453" t="n">
        <v>0.22</v>
      </c>
    </row>
    <row r="1454" spans="1:13">
      <c r="A1454" s="1">
        <f>HYPERLINK("http://www.twitter.com/NathanBLawrence/status/992862024106295296", "992862024106295296")</f>
        <v/>
      </c>
      <c r="B1454" s="2" t="n">
        <v>43225.84869212963</v>
      </c>
      <c r="C1454" t="n">
        <v>0</v>
      </c>
      <c r="D1454" t="n">
        <v>3</v>
      </c>
      <c r="E1454" t="s">
        <v>1464</v>
      </c>
      <c r="F1454" t="s"/>
      <c r="G1454" t="s"/>
      <c r="H1454" t="s"/>
      <c r="I1454" t="s"/>
      <c r="J1454" t="n">
        <v>0.8401999999999999</v>
      </c>
      <c r="K1454" t="n">
        <v>0.07199999999999999</v>
      </c>
      <c r="L1454" t="n">
        <v>0.592</v>
      </c>
      <c r="M1454" t="n">
        <v>0.336</v>
      </c>
    </row>
    <row r="1455" spans="1:13">
      <c r="A1455" s="1">
        <f>HYPERLINK("http://www.twitter.com/NathanBLawrence/status/992861853310058496", "992861853310058496")</f>
        <v/>
      </c>
      <c r="B1455" s="2" t="n">
        <v>43225.84821759259</v>
      </c>
      <c r="C1455" t="n">
        <v>0</v>
      </c>
      <c r="D1455" t="n">
        <v>961</v>
      </c>
      <c r="E1455" t="s">
        <v>1465</v>
      </c>
      <c r="F1455">
        <f>HYPERLINK("https://video.twimg.com/amplify_video/992525753597288448/vid/1280x720/3rLwhNj41zDN0STH.mp4?tag=2", "https://video.twimg.com/amplify_video/992525753597288448/vid/1280x720/3rLwhNj41zDN0STH.mp4?tag=2")</f>
        <v/>
      </c>
      <c r="G1455" t="s"/>
      <c r="H1455" t="s"/>
      <c r="I1455" t="s"/>
      <c r="J1455" t="n">
        <v>0.3182</v>
      </c>
      <c r="K1455" t="n">
        <v>0</v>
      </c>
      <c r="L1455" t="n">
        <v>0.796</v>
      </c>
      <c r="M1455" t="n">
        <v>0.204</v>
      </c>
    </row>
    <row r="1456" spans="1:13">
      <c r="A1456" s="1">
        <f>HYPERLINK("http://www.twitter.com/NathanBLawrence/status/992861660128817153", "992861660128817153")</f>
        <v/>
      </c>
      <c r="B1456" s="2" t="n">
        <v>43225.84768518519</v>
      </c>
      <c r="C1456" t="n">
        <v>0</v>
      </c>
      <c r="D1456" t="n">
        <v>1263</v>
      </c>
      <c r="E1456" t="s">
        <v>1466</v>
      </c>
      <c r="F1456">
        <f>HYPERLINK("http://pbs.twimg.com/media/Dcbujw4VMAAs0yi.jpg", "http://pbs.twimg.com/media/Dcbujw4VMAAs0yi.jpg")</f>
        <v/>
      </c>
      <c r="G1456" t="s"/>
      <c r="H1456" t="s"/>
      <c r="I1456" t="s"/>
      <c r="J1456" t="n">
        <v>0.8331</v>
      </c>
      <c r="K1456" t="n">
        <v>0</v>
      </c>
      <c r="L1456" t="n">
        <v>0.697</v>
      </c>
      <c r="M1456" t="n">
        <v>0.303</v>
      </c>
    </row>
    <row r="1457" spans="1:13">
      <c r="A1457" s="1">
        <f>HYPERLINK("http://www.twitter.com/NathanBLawrence/status/992861566193229824", "992861566193229824")</f>
        <v/>
      </c>
      <c r="B1457" s="2" t="n">
        <v>43225.84743055556</v>
      </c>
      <c r="C1457" t="n">
        <v>0</v>
      </c>
      <c r="D1457" t="n">
        <v>1066</v>
      </c>
      <c r="E1457" t="s">
        <v>1467</v>
      </c>
      <c r="F1457">
        <f>HYPERLINK("http://pbs.twimg.com/media/DccDM2xXUAA8uO7.jpg", "http://pbs.twimg.com/media/DccDM2xXUAA8uO7.jpg")</f>
        <v/>
      </c>
      <c r="G1457" t="s"/>
      <c r="H1457" t="s"/>
      <c r="I1457" t="s"/>
      <c r="J1457" t="n">
        <v>-0.3802</v>
      </c>
      <c r="K1457" t="n">
        <v>0.217</v>
      </c>
      <c r="L1457" t="n">
        <v>0.655</v>
      </c>
      <c r="M1457" t="n">
        <v>0.128</v>
      </c>
    </row>
    <row r="1458" spans="1:13">
      <c r="A1458" s="1">
        <f>HYPERLINK("http://www.twitter.com/NathanBLawrence/status/992861077049298944", "992861077049298944")</f>
        <v/>
      </c>
      <c r="B1458" s="2" t="n">
        <v>43225.84607638889</v>
      </c>
      <c r="C1458" t="n">
        <v>0</v>
      </c>
      <c r="D1458" t="n">
        <v>1853</v>
      </c>
      <c r="E1458" t="s">
        <v>1468</v>
      </c>
      <c r="F1458" t="s"/>
      <c r="G1458" t="s"/>
      <c r="H1458" t="s"/>
      <c r="I1458" t="s"/>
      <c r="J1458" t="n">
        <v>-0.4019</v>
      </c>
      <c r="K1458" t="n">
        <v>0.204</v>
      </c>
      <c r="L1458" t="n">
        <v>0.6909999999999999</v>
      </c>
      <c r="M1458" t="n">
        <v>0.105</v>
      </c>
    </row>
    <row r="1459" spans="1:13">
      <c r="A1459" s="1">
        <f>HYPERLINK("http://www.twitter.com/NathanBLawrence/status/992860772840566785", "992860772840566785")</f>
        <v/>
      </c>
      <c r="B1459" s="2" t="n">
        <v>43225.84524305556</v>
      </c>
      <c r="C1459" t="n">
        <v>0</v>
      </c>
      <c r="D1459" t="n">
        <v>282</v>
      </c>
      <c r="E1459" t="s">
        <v>1469</v>
      </c>
      <c r="F1459" t="s"/>
      <c r="G1459" t="s"/>
      <c r="H1459" t="s"/>
      <c r="I1459" t="s"/>
      <c r="J1459" t="n">
        <v>0.5994</v>
      </c>
      <c r="K1459" t="n">
        <v>0</v>
      </c>
      <c r="L1459" t="n">
        <v>0.754</v>
      </c>
      <c r="M1459" t="n">
        <v>0.246</v>
      </c>
    </row>
    <row r="1460" spans="1:13">
      <c r="A1460" s="1">
        <f>HYPERLINK("http://www.twitter.com/NathanBLawrence/status/992860595325091840", "992860595325091840")</f>
        <v/>
      </c>
      <c r="B1460" s="2" t="n">
        <v>43225.84475694445</v>
      </c>
      <c r="C1460" t="n">
        <v>0</v>
      </c>
      <c r="D1460" t="n">
        <v>811</v>
      </c>
      <c r="E1460" t="s">
        <v>1470</v>
      </c>
      <c r="F1460" t="s"/>
      <c r="G1460" t="s"/>
      <c r="H1460" t="s"/>
      <c r="I1460" t="s"/>
      <c r="J1460" t="n">
        <v>0.8683999999999999</v>
      </c>
      <c r="K1460" t="n">
        <v>0</v>
      </c>
      <c r="L1460" t="n">
        <v>0.505</v>
      </c>
      <c r="M1460" t="n">
        <v>0.495</v>
      </c>
    </row>
    <row r="1461" spans="1:13">
      <c r="A1461" s="1">
        <f>HYPERLINK("http://www.twitter.com/NathanBLawrence/status/992860551012274176", "992860551012274176")</f>
        <v/>
      </c>
      <c r="B1461" s="2" t="n">
        <v>43225.84462962963</v>
      </c>
      <c r="C1461" t="n">
        <v>0</v>
      </c>
      <c r="D1461" t="n">
        <v>35</v>
      </c>
      <c r="E1461" t="s">
        <v>1471</v>
      </c>
      <c r="F1461">
        <f>HYPERLINK("http://pbs.twimg.com/media/DccMQ7mWsAAsmpn.jpg", "http://pbs.twimg.com/media/DccMQ7mWsAAsmpn.jpg")</f>
        <v/>
      </c>
      <c r="G1461" t="s"/>
      <c r="H1461" t="s"/>
      <c r="I1461" t="s"/>
      <c r="J1461" t="n">
        <v>0</v>
      </c>
      <c r="K1461" t="n">
        <v>0</v>
      </c>
      <c r="L1461" t="n">
        <v>1</v>
      </c>
      <c r="M1461" t="n">
        <v>0</v>
      </c>
    </row>
    <row r="1462" spans="1:13">
      <c r="A1462" s="1">
        <f>HYPERLINK("http://www.twitter.com/NathanBLawrence/status/992860408821170176", "992860408821170176")</f>
        <v/>
      </c>
      <c r="B1462" s="2" t="n">
        <v>43225.84423611111</v>
      </c>
      <c r="C1462" t="n">
        <v>0</v>
      </c>
      <c r="D1462" t="n">
        <v>41</v>
      </c>
      <c r="E1462" t="s">
        <v>1472</v>
      </c>
      <c r="F1462">
        <f>HYPERLINK("http://pbs.twimg.com/media/DccNO2eX4AEAyus.jpg", "http://pbs.twimg.com/media/DccNO2eX4AEAyus.jpg")</f>
        <v/>
      </c>
      <c r="G1462" t="s"/>
      <c r="H1462" t="s"/>
      <c r="I1462" t="s"/>
      <c r="J1462" t="n">
        <v>0</v>
      </c>
      <c r="K1462" t="n">
        <v>0</v>
      </c>
      <c r="L1462" t="n">
        <v>1</v>
      </c>
      <c r="M1462" t="n">
        <v>0</v>
      </c>
    </row>
    <row r="1463" spans="1:13">
      <c r="A1463" s="1">
        <f>HYPERLINK("http://www.twitter.com/NathanBLawrence/status/992860321973919744", "992860321973919744")</f>
        <v/>
      </c>
      <c r="B1463" s="2" t="n">
        <v>43225.84399305555</v>
      </c>
      <c r="C1463" t="n">
        <v>0</v>
      </c>
      <c r="D1463" t="n">
        <v>2084</v>
      </c>
      <c r="E1463" t="s">
        <v>1473</v>
      </c>
      <c r="F1463" t="s"/>
      <c r="G1463" t="s"/>
      <c r="H1463" t="s"/>
      <c r="I1463" t="s"/>
      <c r="J1463" t="n">
        <v>0.3612</v>
      </c>
      <c r="K1463" t="n">
        <v>0</v>
      </c>
      <c r="L1463" t="n">
        <v>0.894</v>
      </c>
      <c r="M1463" t="n">
        <v>0.106</v>
      </c>
    </row>
    <row r="1464" spans="1:13">
      <c r="A1464" s="1">
        <f>HYPERLINK("http://www.twitter.com/NathanBLawrence/status/992859752395718656", "992859752395718656")</f>
        <v/>
      </c>
      <c r="B1464" s="2" t="n">
        <v>43225.84243055555</v>
      </c>
      <c r="C1464" t="n">
        <v>1</v>
      </c>
      <c r="D1464" t="n">
        <v>0</v>
      </c>
      <c r="E1464" t="s">
        <v>1474</v>
      </c>
      <c r="F1464" t="s"/>
      <c r="G1464" t="s"/>
      <c r="H1464" t="s"/>
      <c r="I1464" t="s"/>
      <c r="J1464" t="n">
        <v>-0.7050999999999999</v>
      </c>
      <c r="K1464" t="n">
        <v>0.363</v>
      </c>
      <c r="L1464" t="n">
        <v>0.471</v>
      </c>
      <c r="M1464" t="n">
        <v>0.166</v>
      </c>
    </row>
    <row r="1465" spans="1:13">
      <c r="A1465" s="1">
        <f>HYPERLINK("http://www.twitter.com/NathanBLawrence/status/992858990940844032", "992858990940844032")</f>
        <v/>
      </c>
      <c r="B1465" s="2" t="n">
        <v>43225.84032407407</v>
      </c>
      <c r="C1465" t="n">
        <v>0</v>
      </c>
      <c r="D1465" t="n">
        <v>806</v>
      </c>
      <c r="E1465" t="s">
        <v>1475</v>
      </c>
      <c r="F1465" t="s"/>
      <c r="G1465" t="s"/>
      <c r="H1465" t="s"/>
      <c r="I1465" t="s"/>
      <c r="J1465" t="n">
        <v>0</v>
      </c>
      <c r="K1465" t="n">
        <v>0</v>
      </c>
      <c r="L1465" t="n">
        <v>1</v>
      </c>
      <c r="M1465" t="n">
        <v>0</v>
      </c>
    </row>
    <row r="1466" spans="1:13">
      <c r="A1466" s="1">
        <f>HYPERLINK("http://www.twitter.com/NathanBLawrence/status/992858141925625857", "992858141925625857")</f>
        <v/>
      </c>
      <c r="B1466" s="2" t="n">
        <v>43225.83798611111</v>
      </c>
      <c r="C1466" t="n">
        <v>0</v>
      </c>
      <c r="D1466" t="n">
        <v>186</v>
      </c>
      <c r="E1466" t="s">
        <v>1476</v>
      </c>
      <c r="F1466">
        <f>HYPERLINK("http://pbs.twimg.com/media/DccKQ-7U0AIIyZ5.jpg", "http://pbs.twimg.com/media/DccKQ-7U0AIIyZ5.jpg")</f>
        <v/>
      </c>
      <c r="G1466">
        <f>HYPERLINK("http://pbs.twimg.com/media/DccKRx9VwAIhFr2.jpg", "http://pbs.twimg.com/media/DccKRx9VwAIhFr2.jpg")</f>
        <v/>
      </c>
      <c r="H1466" t="s"/>
      <c r="I1466" t="s"/>
      <c r="J1466" t="n">
        <v>0.3818</v>
      </c>
      <c r="K1466" t="n">
        <v>0</v>
      </c>
      <c r="L1466" t="n">
        <v>0.658</v>
      </c>
      <c r="M1466" t="n">
        <v>0.342</v>
      </c>
    </row>
    <row r="1467" spans="1:13">
      <c r="A1467" s="1">
        <f>HYPERLINK("http://www.twitter.com/NathanBLawrence/status/992857426108993536", "992857426108993536")</f>
        <v/>
      </c>
      <c r="B1467" s="2" t="n">
        <v>43225.83600694445</v>
      </c>
      <c r="C1467" t="n">
        <v>0</v>
      </c>
      <c r="D1467" t="n">
        <v>803</v>
      </c>
      <c r="E1467" t="s">
        <v>1477</v>
      </c>
      <c r="F1467">
        <f>HYPERLINK("http://pbs.twimg.com/media/Dcb0PoyXUAA-BMg.jpg", "http://pbs.twimg.com/media/Dcb0PoyXUAA-BMg.jpg")</f>
        <v/>
      </c>
      <c r="G1467" t="s"/>
      <c r="H1467" t="s"/>
      <c r="I1467" t="s"/>
      <c r="J1467" t="n">
        <v>0.7951</v>
      </c>
      <c r="K1467" t="n">
        <v>0</v>
      </c>
      <c r="L1467" t="n">
        <v>0.757</v>
      </c>
      <c r="M1467" t="n">
        <v>0.243</v>
      </c>
    </row>
    <row r="1468" spans="1:13">
      <c r="A1468" s="1">
        <f>HYPERLINK("http://www.twitter.com/NathanBLawrence/status/992857247695814656", "992857247695814656")</f>
        <v/>
      </c>
      <c r="B1468" s="2" t="n">
        <v>43225.83550925926</v>
      </c>
      <c r="C1468" t="n">
        <v>0</v>
      </c>
      <c r="D1468" t="n">
        <v>3629</v>
      </c>
      <c r="E1468" t="s">
        <v>1478</v>
      </c>
      <c r="F1468" t="s"/>
      <c r="G1468" t="s"/>
      <c r="H1468" t="s"/>
      <c r="I1468" t="s"/>
      <c r="J1468" t="n">
        <v>0</v>
      </c>
      <c r="K1468" t="n">
        <v>0</v>
      </c>
      <c r="L1468" t="n">
        <v>1</v>
      </c>
      <c r="M1468" t="n">
        <v>0</v>
      </c>
    </row>
    <row r="1469" spans="1:13">
      <c r="A1469" s="1">
        <f>HYPERLINK("http://www.twitter.com/NathanBLawrence/status/992857183355191297", "992857183355191297")</f>
        <v/>
      </c>
      <c r="B1469" s="2" t="n">
        <v>43225.83533564815</v>
      </c>
      <c r="C1469" t="n">
        <v>1</v>
      </c>
      <c r="D1469" t="n">
        <v>1</v>
      </c>
      <c r="E1469" t="s">
        <v>1479</v>
      </c>
      <c r="F1469" t="s"/>
      <c r="G1469" t="s"/>
      <c r="H1469" t="s"/>
      <c r="I1469" t="s"/>
      <c r="J1469" t="n">
        <v>-0.7639</v>
      </c>
      <c r="K1469" t="n">
        <v>0.415</v>
      </c>
      <c r="L1469" t="n">
        <v>0.423</v>
      </c>
      <c r="M1469" t="n">
        <v>0.162</v>
      </c>
    </row>
    <row r="1470" spans="1:13">
      <c r="A1470" s="1">
        <f>HYPERLINK("http://www.twitter.com/NathanBLawrence/status/992810688832819200", "992810688832819200")</f>
        <v/>
      </c>
      <c r="B1470" s="2" t="n">
        <v>43225.70703703703</v>
      </c>
      <c r="C1470" t="n">
        <v>0</v>
      </c>
      <c r="D1470" t="n">
        <v>17504</v>
      </c>
      <c r="E1470" t="s">
        <v>1480</v>
      </c>
      <c r="F1470" t="s"/>
      <c r="G1470" t="s"/>
      <c r="H1470" t="s"/>
      <c r="I1470" t="s"/>
      <c r="J1470" t="n">
        <v>0</v>
      </c>
      <c r="K1470" t="n">
        <v>0</v>
      </c>
      <c r="L1470" t="n">
        <v>1</v>
      </c>
      <c r="M1470" t="n">
        <v>0</v>
      </c>
    </row>
    <row r="1471" spans="1:13">
      <c r="A1471" s="1">
        <f>HYPERLINK("http://www.twitter.com/NathanBLawrence/status/992810621212200960", "992810621212200960")</f>
        <v/>
      </c>
      <c r="B1471" s="2" t="n">
        <v>43225.70685185185</v>
      </c>
      <c r="C1471" t="n">
        <v>0</v>
      </c>
      <c r="D1471" t="n">
        <v>18346</v>
      </c>
      <c r="E1471" t="s">
        <v>1481</v>
      </c>
      <c r="F1471" t="s"/>
      <c r="G1471" t="s"/>
      <c r="H1471" t="s"/>
      <c r="I1471" t="s"/>
      <c r="J1471" t="n">
        <v>0.5994</v>
      </c>
      <c r="K1471" t="n">
        <v>0</v>
      </c>
      <c r="L1471" t="n">
        <v>0.849</v>
      </c>
      <c r="M1471" t="n">
        <v>0.151</v>
      </c>
    </row>
    <row r="1472" spans="1:13">
      <c r="A1472" s="1">
        <f>HYPERLINK("http://www.twitter.com/NathanBLawrence/status/992810563502788609", "992810563502788609")</f>
        <v/>
      </c>
      <c r="B1472" s="2" t="n">
        <v>43225.70668981481</v>
      </c>
      <c r="C1472" t="n">
        <v>0</v>
      </c>
      <c r="D1472" t="n">
        <v>9746</v>
      </c>
      <c r="E1472" t="s">
        <v>1482</v>
      </c>
      <c r="F1472" t="s"/>
      <c r="G1472" t="s"/>
      <c r="H1472" t="s"/>
      <c r="I1472" t="s"/>
      <c r="J1472" t="n">
        <v>0.9184</v>
      </c>
      <c r="K1472" t="n">
        <v>0</v>
      </c>
      <c r="L1472" t="n">
        <v>0.6</v>
      </c>
      <c r="M1472" t="n">
        <v>0.4</v>
      </c>
    </row>
    <row r="1473" spans="1:13">
      <c r="A1473" s="1">
        <f>HYPERLINK("http://www.twitter.com/NathanBLawrence/status/992810505592074240", "992810505592074240")</f>
        <v/>
      </c>
      <c r="B1473" s="2" t="n">
        <v>43225.70652777778</v>
      </c>
      <c r="C1473" t="n">
        <v>0</v>
      </c>
      <c r="D1473" t="n">
        <v>18257</v>
      </c>
      <c r="E1473" t="s">
        <v>1483</v>
      </c>
      <c r="F1473">
        <f>HYPERLINK("https://video.twimg.com/ext_tw_video/992538124466114560/pu/vid/1280x720/8dEPvD6rHqwqYohw.mp4?tag=3", "https://video.twimg.com/ext_tw_video/992538124466114560/pu/vid/1280x720/8dEPvD6rHqwqYohw.mp4?tag=3")</f>
        <v/>
      </c>
      <c r="G1473" t="s"/>
      <c r="H1473" t="s"/>
      <c r="I1473" t="s"/>
      <c r="J1473" t="n">
        <v>0.8847</v>
      </c>
      <c r="K1473" t="n">
        <v>0</v>
      </c>
      <c r="L1473" t="n">
        <v>0.618</v>
      </c>
      <c r="M1473" t="n">
        <v>0.382</v>
      </c>
    </row>
    <row r="1474" spans="1:13">
      <c r="A1474" s="1">
        <f>HYPERLINK("http://www.twitter.com/NathanBLawrence/status/992810470942892037", "992810470942892037")</f>
        <v/>
      </c>
      <c r="B1474" s="2" t="n">
        <v>43225.70643518519</v>
      </c>
      <c r="C1474" t="n">
        <v>0</v>
      </c>
      <c r="D1474" t="n">
        <v>24761</v>
      </c>
      <c r="E1474" t="s">
        <v>1484</v>
      </c>
      <c r="F1474" t="s"/>
      <c r="G1474" t="s"/>
      <c r="H1474" t="s"/>
      <c r="I1474" t="s"/>
      <c r="J1474" t="n">
        <v>-0.4574</v>
      </c>
      <c r="K1474" t="n">
        <v>0.227</v>
      </c>
      <c r="L1474" t="n">
        <v>0.672</v>
      </c>
      <c r="M1474" t="n">
        <v>0.101</v>
      </c>
    </row>
    <row r="1475" spans="1:13">
      <c r="A1475" s="1">
        <f>HYPERLINK("http://www.twitter.com/NathanBLawrence/status/992810428316168194", "992810428316168194")</f>
        <v/>
      </c>
      <c r="B1475" s="2" t="n">
        <v>43225.70631944444</v>
      </c>
      <c r="C1475" t="n">
        <v>0</v>
      </c>
      <c r="D1475" t="n">
        <v>36130</v>
      </c>
      <c r="E1475" t="s">
        <v>1485</v>
      </c>
      <c r="F1475" t="s"/>
      <c r="G1475" t="s"/>
      <c r="H1475" t="s"/>
      <c r="I1475" t="s"/>
      <c r="J1475" t="n">
        <v>0.0772</v>
      </c>
      <c r="K1475" t="n">
        <v>0</v>
      </c>
      <c r="L1475" t="n">
        <v>0.9360000000000001</v>
      </c>
      <c r="M1475" t="n">
        <v>0.064</v>
      </c>
    </row>
    <row r="1476" spans="1:13">
      <c r="A1476" s="1">
        <f>HYPERLINK("http://www.twitter.com/NathanBLawrence/status/992810348490129409", "992810348490129409")</f>
        <v/>
      </c>
      <c r="B1476" s="2" t="n">
        <v>43225.70609953703</v>
      </c>
      <c r="C1476" t="n">
        <v>0</v>
      </c>
      <c r="D1476" t="n">
        <v>18400</v>
      </c>
      <c r="E1476" t="s">
        <v>1486</v>
      </c>
      <c r="F1476">
        <f>HYPERLINK("https://video.twimg.com/ext_tw_video/992501842553663488/pu/vid/1280x720/5Z79u27HVGQFUonV.mp4?tag=3", "https://video.twimg.com/ext_tw_video/992501842553663488/pu/vid/1280x720/5Z79u27HVGQFUonV.mp4?tag=3")</f>
        <v/>
      </c>
      <c r="G1476" t="s"/>
      <c r="H1476" t="s"/>
      <c r="I1476" t="s"/>
      <c r="J1476" t="n">
        <v>0.8957000000000001</v>
      </c>
      <c r="K1476" t="n">
        <v>0</v>
      </c>
      <c r="L1476" t="n">
        <v>0.64</v>
      </c>
      <c r="M1476" t="n">
        <v>0.36</v>
      </c>
    </row>
    <row r="1477" spans="1:13">
      <c r="A1477" s="1">
        <f>HYPERLINK("http://www.twitter.com/NathanBLawrence/status/992810310863081472", "992810310863081472")</f>
        <v/>
      </c>
      <c r="B1477" s="2" t="n">
        <v>43225.70599537037</v>
      </c>
      <c r="C1477" t="n">
        <v>0</v>
      </c>
      <c r="D1477" t="n">
        <v>30930</v>
      </c>
      <c r="E1477" t="s">
        <v>1487</v>
      </c>
      <c r="F1477" t="s"/>
      <c r="G1477" t="s"/>
      <c r="H1477" t="s"/>
      <c r="I1477" t="s"/>
      <c r="J1477" t="n">
        <v>-0.8695000000000001</v>
      </c>
      <c r="K1477" t="n">
        <v>0.472</v>
      </c>
      <c r="L1477" t="n">
        <v>0.528</v>
      </c>
      <c r="M1477" t="n">
        <v>0</v>
      </c>
    </row>
    <row r="1478" spans="1:13">
      <c r="A1478" s="1">
        <f>HYPERLINK("http://www.twitter.com/NathanBLawrence/status/992810273273794561", "992810273273794561")</f>
        <v/>
      </c>
      <c r="B1478" s="2" t="n">
        <v>43225.7058912037</v>
      </c>
      <c r="C1478" t="n">
        <v>0</v>
      </c>
      <c r="D1478" t="n">
        <v>20924</v>
      </c>
      <c r="E1478" t="s">
        <v>1488</v>
      </c>
      <c r="F1478" t="s"/>
      <c r="G1478" t="s"/>
      <c r="H1478" t="s"/>
      <c r="I1478" t="s"/>
      <c r="J1478" t="n">
        <v>-0.7712</v>
      </c>
      <c r="K1478" t="n">
        <v>0.31</v>
      </c>
      <c r="L1478" t="n">
        <v>0.606</v>
      </c>
      <c r="M1478" t="n">
        <v>0.08400000000000001</v>
      </c>
    </row>
    <row r="1479" spans="1:13">
      <c r="A1479" s="1">
        <f>HYPERLINK("http://www.twitter.com/NathanBLawrence/status/992810149222985728", "992810149222985728")</f>
        <v/>
      </c>
      <c r="B1479" s="2" t="n">
        <v>43225.70554398148</v>
      </c>
      <c r="C1479" t="n">
        <v>0</v>
      </c>
      <c r="D1479" t="n">
        <v>22656</v>
      </c>
      <c r="E1479" t="s">
        <v>1489</v>
      </c>
      <c r="F1479" t="s"/>
      <c r="G1479" t="s"/>
      <c r="H1479" t="s"/>
      <c r="I1479" t="s"/>
      <c r="J1479" t="n">
        <v>0.3886</v>
      </c>
      <c r="K1479" t="n">
        <v>0.186</v>
      </c>
      <c r="L1479" t="n">
        <v>0.574</v>
      </c>
      <c r="M1479" t="n">
        <v>0.241</v>
      </c>
    </row>
    <row r="1480" spans="1:13">
      <c r="A1480" s="1">
        <f>HYPERLINK("http://www.twitter.com/NathanBLawrence/status/992810092360847360", "992810092360847360")</f>
        <v/>
      </c>
      <c r="B1480" s="2" t="n">
        <v>43225.70539351852</v>
      </c>
      <c r="C1480" t="n">
        <v>0</v>
      </c>
      <c r="D1480" t="n">
        <v>19547</v>
      </c>
      <c r="E1480" t="s">
        <v>1490</v>
      </c>
      <c r="F1480" t="s"/>
      <c r="G1480" t="s"/>
      <c r="H1480" t="s"/>
      <c r="I1480" t="s"/>
      <c r="J1480" t="n">
        <v>-0.5266999999999999</v>
      </c>
      <c r="K1480" t="n">
        <v>0.18</v>
      </c>
      <c r="L1480" t="n">
        <v>0.82</v>
      </c>
      <c r="M1480" t="n">
        <v>0</v>
      </c>
    </row>
    <row r="1481" spans="1:13">
      <c r="A1481" s="1">
        <f>HYPERLINK("http://www.twitter.com/NathanBLawrence/status/992809725896134656", "992809725896134656")</f>
        <v/>
      </c>
      <c r="B1481" s="2" t="n">
        <v>43225.704375</v>
      </c>
      <c r="C1481" t="n">
        <v>0</v>
      </c>
      <c r="D1481" t="n">
        <v>307</v>
      </c>
      <c r="E1481" t="s">
        <v>1491</v>
      </c>
      <c r="F1481" t="s"/>
      <c r="G1481" t="s"/>
      <c r="H1481" t="s"/>
      <c r="I1481" t="s"/>
      <c r="J1481" t="n">
        <v>0</v>
      </c>
      <c r="K1481" t="n">
        <v>0</v>
      </c>
      <c r="L1481" t="n">
        <v>1</v>
      </c>
      <c r="M1481" t="n">
        <v>0</v>
      </c>
    </row>
    <row r="1482" spans="1:13">
      <c r="A1482" s="1">
        <f>HYPERLINK("http://www.twitter.com/NathanBLawrence/status/992805407671308288", "992805407671308288")</f>
        <v/>
      </c>
      <c r="B1482" s="2" t="n">
        <v>43225.69246527777</v>
      </c>
      <c r="C1482" t="n">
        <v>0</v>
      </c>
      <c r="D1482" t="n">
        <v>1432</v>
      </c>
      <c r="E1482" t="s">
        <v>1492</v>
      </c>
      <c r="F1482" t="s"/>
      <c r="G1482" t="s"/>
      <c r="H1482" t="s"/>
      <c r="I1482" t="s"/>
      <c r="J1482" t="n">
        <v>0</v>
      </c>
      <c r="K1482" t="n">
        <v>0</v>
      </c>
      <c r="L1482" t="n">
        <v>1</v>
      </c>
      <c r="M1482" t="n">
        <v>0</v>
      </c>
    </row>
    <row r="1483" spans="1:13">
      <c r="A1483" s="1">
        <f>HYPERLINK("http://www.twitter.com/NathanBLawrence/status/992805277136121856", "992805277136121856")</f>
        <v/>
      </c>
      <c r="B1483" s="2" t="n">
        <v>43225.69210648148</v>
      </c>
      <c r="C1483" t="n">
        <v>0</v>
      </c>
      <c r="D1483" t="n">
        <v>1456</v>
      </c>
      <c r="E1483" t="s">
        <v>1493</v>
      </c>
      <c r="F1483" t="s"/>
      <c r="G1483" t="s"/>
      <c r="H1483" t="s"/>
      <c r="I1483" t="s"/>
      <c r="J1483" t="n">
        <v>0</v>
      </c>
      <c r="K1483" t="n">
        <v>0</v>
      </c>
      <c r="L1483" t="n">
        <v>1</v>
      </c>
      <c r="M1483" t="n">
        <v>0</v>
      </c>
    </row>
    <row r="1484" spans="1:13">
      <c r="A1484" s="1">
        <f>HYPERLINK("http://www.twitter.com/NathanBLawrence/status/992804957681213442", "992804957681213442")</f>
        <v/>
      </c>
      <c r="B1484" s="2" t="n">
        <v>43225.69121527778</v>
      </c>
      <c r="C1484" t="n">
        <v>0</v>
      </c>
      <c r="D1484" t="n">
        <v>594</v>
      </c>
      <c r="E1484" t="s">
        <v>1494</v>
      </c>
      <c r="F1484" t="s"/>
      <c r="G1484" t="s"/>
      <c r="H1484" t="s"/>
      <c r="I1484" t="s"/>
      <c r="J1484" t="n">
        <v>0.3818</v>
      </c>
      <c r="K1484" t="n">
        <v>0.07099999999999999</v>
      </c>
      <c r="L1484" t="n">
        <v>0.794</v>
      </c>
      <c r="M1484" t="n">
        <v>0.135</v>
      </c>
    </row>
    <row r="1485" spans="1:13">
      <c r="A1485" s="1">
        <f>HYPERLINK("http://www.twitter.com/NathanBLawrence/status/992804811966894080", "992804811966894080")</f>
        <v/>
      </c>
      <c r="B1485" s="2" t="n">
        <v>43225.69082175926</v>
      </c>
      <c r="C1485" t="n">
        <v>0</v>
      </c>
      <c r="D1485" t="n">
        <v>2</v>
      </c>
      <c r="E1485" t="s">
        <v>1495</v>
      </c>
      <c r="F1485" t="s"/>
      <c r="G1485" t="s"/>
      <c r="H1485" t="s"/>
      <c r="I1485" t="s"/>
      <c r="J1485" t="n">
        <v>0</v>
      </c>
      <c r="K1485" t="n">
        <v>0</v>
      </c>
      <c r="L1485" t="n">
        <v>1</v>
      </c>
      <c r="M1485" t="n">
        <v>0</v>
      </c>
    </row>
    <row r="1486" spans="1:13">
      <c r="A1486" s="1">
        <f>HYPERLINK("http://www.twitter.com/NathanBLawrence/status/992804658555965441", "992804658555965441")</f>
        <v/>
      </c>
      <c r="B1486" s="2" t="n">
        <v>43225.69039351852</v>
      </c>
      <c r="C1486" t="n">
        <v>0</v>
      </c>
      <c r="D1486" t="n">
        <v>1401</v>
      </c>
      <c r="E1486" t="s">
        <v>1496</v>
      </c>
      <c r="F1486">
        <f>HYPERLINK("http://pbs.twimg.com/media/DccBXDHUwAAqlQx.jpg", "http://pbs.twimg.com/media/DccBXDHUwAAqlQx.jpg")</f>
        <v/>
      </c>
      <c r="G1486" t="s"/>
      <c r="H1486" t="s"/>
      <c r="I1486" t="s"/>
      <c r="J1486" t="n">
        <v>0.4926</v>
      </c>
      <c r="K1486" t="n">
        <v>0.169</v>
      </c>
      <c r="L1486" t="n">
        <v>0.403</v>
      </c>
      <c r="M1486" t="n">
        <v>0.427</v>
      </c>
    </row>
    <row r="1487" spans="1:13">
      <c r="A1487" s="1">
        <f>HYPERLINK("http://www.twitter.com/NathanBLawrence/status/992804616197718016", "992804616197718016")</f>
        <v/>
      </c>
      <c r="B1487" s="2" t="n">
        <v>43225.69027777778</v>
      </c>
      <c r="C1487" t="n">
        <v>0</v>
      </c>
      <c r="D1487" t="n">
        <v>3358</v>
      </c>
      <c r="E1487" t="s">
        <v>1497</v>
      </c>
      <c r="F1487" t="s"/>
      <c r="G1487" t="s"/>
      <c r="H1487" t="s"/>
      <c r="I1487" t="s"/>
      <c r="J1487" t="n">
        <v>-0.4019</v>
      </c>
      <c r="K1487" t="n">
        <v>0.234</v>
      </c>
      <c r="L1487" t="n">
        <v>0.649</v>
      </c>
      <c r="M1487" t="n">
        <v>0.117</v>
      </c>
    </row>
    <row r="1488" spans="1:13">
      <c r="A1488" s="1">
        <f>HYPERLINK("http://www.twitter.com/NathanBLawrence/status/992804438896099329", "992804438896099329")</f>
        <v/>
      </c>
      <c r="B1488" s="2" t="n">
        <v>43225.68979166666</v>
      </c>
      <c r="C1488" t="n">
        <v>0</v>
      </c>
      <c r="D1488" t="n">
        <v>3211</v>
      </c>
      <c r="E1488" t="s">
        <v>1498</v>
      </c>
      <c r="F1488" t="s"/>
      <c r="G1488" t="s"/>
      <c r="H1488" t="s"/>
      <c r="I1488" t="s"/>
      <c r="J1488" t="n">
        <v>-0.0772</v>
      </c>
      <c r="K1488" t="n">
        <v>0.21</v>
      </c>
      <c r="L1488" t="n">
        <v>0.599</v>
      </c>
      <c r="M1488" t="n">
        <v>0.192</v>
      </c>
    </row>
    <row r="1489" spans="1:13">
      <c r="A1489" s="1">
        <f>HYPERLINK("http://www.twitter.com/NathanBLawrence/status/992804383623593987", "992804383623593987")</f>
        <v/>
      </c>
      <c r="B1489" s="2" t="n">
        <v>43225.6896412037</v>
      </c>
      <c r="C1489" t="n">
        <v>0</v>
      </c>
      <c r="D1489" t="n">
        <v>10409</v>
      </c>
      <c r="E1489" t="s">
        <v>1499</v>
      </c>
      <c r="F1489" t="s"/>
      <c r="G1489" t="s"/>
      <c r="H1489" t="s"/>
      <c r="I1489" t="s"/>
      <c r="J1489" t="n">
        <v>0.5411</v>
      </c>
      <c r="K1489" t="n">
        <v>0</v>
      </c>
      <c r="L1489" t="n">
        <v>0.851</v>
      </c>
      <c r="M1489" t="n">
        <v>0.149</v>
      </c>
    </row>
    <row r="1490" spans="1:13">
      <c r="A1490" s="1">
        <f>HYPERLINK("http://www.twitter.com/NathanBLawrence/status/992804342280306689", "992804342280306689")</f>
        <v/>
      </c>
      <c r="B1490" s="2" t="n">
        <v>43225.68952546296</v>
      </c>
      <c r="C1490" t="n">
        <v>0</v>
      </c>
      <c r="D1490" t="n">
        <v>5348</v>
      </c>
      <c r="E1490" t="s">
        <v>1500</v>
      </c>
      <c r="F1490" t="s"/>
      <c r="G1490" t="s"/>
      <c r="H1490" t="s"/>
      <c r="I1490" t="s"/>
      <c r="J1490" t="n">
        <v>-0.6124000000000001</v>
      </c>
      <c r="K1490" t="n">
        <v>0.296</v>
      </c>
      <c r="L1490" t="n">
        <v>0.535</v>
      </c>
      <c r="M1490" t="n">
        <v>0.17</v>
      </c>
    </row>
    <row r="1491" spans="1:13">
      <c r="A1491" s="1">
        <f>HYPERLINK("http://www.twitter.com/NathanBLawrence/status/992804211216732160", "992804211216732160")</f>
        <v/>
      </c>
      <c r="B1491" s="2" t="n">
        <v>43225.68916666666</v>
      </c>
      <c r="C1491" t="n">
        <v>0</v>
      </c>
      <c r="D1491" t="n">
        <v>671</v>
      </c>
      <c r="E1491" t="s">
        <v>1501</v>
      </c>
      <c r="F1491">
        <f>HYPERLINK("http://pbs.twimg.com/media/DccZg5AVQAUYumo.jpg", "http://pbs.twimg.com/media/DccZg5AVQAUYumo.jpg")</f>
        <v/>
      </c>
      <c r="G1491" t="s"/>
      <c r="H1491" t="s"/>
      <c r="I1491" t="s"/>
      <c r="J1491" t="n">
        <v>0.2621</v>
      </c>
      <c r="K1491" t="n">
        <v>0</v>
      </c>
      <c r="L1491" t="n">
        <v>0.892</v>
      </c>
      <c r="M1491" t="n">
        <v>0.108</v>
      </c>
    </row>
    <row r="1492" spans="1:13">
      <c r="A1492" s="1">
        <f>HYPERLINK("http://www.twitter.com/NathanBLawrence/status/992804046594457600", "992804046594457600")</f>
        <v/>
      </c>
      <c r="B1492" s="2" t="n">
        <v>43225.6887037037</v>
      </c>
      <c r="C1492" t="n">
        <v>0</v>
      </c>
      <c r="D1492" t="n">
        <v>1138</v>
      </c>
      <c r="E1492" t="s">
        <v>1502</v>
      </c>
      <c r="F1492" t="s"/>
      <c r="G1492" t="s"/>
      <c r="H1492" t="s"/>
      <c r="I1492" t="s"/>
      <c r="J1492" t="n">
        <v>-0.4215</v>
      </c>
      <c r="K1492" t="n">
        <v>0.155</v>
      </c>
      <c r="L1492" t="n">
        <v>0.795</v>
      </c>
      <c r="M1492" t="n">
        <v>0.049</v>
      </c>
    </row>
    <row r="1493" spans="1:13">
      <c r="A1493" s="1">
        <f>HYPERLINK("http://www.twitter.com/NathanBLawrence/status/992803981582778368", "992803981582778368")</f>
        <v/>
      </c>
      <c r="B1493" s="2" t="n">
        <v>43225.68853009259</v>
      </c>
      <c r="C1493" t="n">
        <v>0</v>
      </c>
      <c r="D1493" t="n">
        <v>12103</v>
      </c>
      <c r="E1493" t="s">
        <v>1503</v>
      </c>
      <c r="F1493" t="s"/>
      <c r="G1493" t="s"/>
      <c r="H1493" t="s"/>
      <c r="I1493" t="s"/>
      <c r="J1493" t="n">
        <v>0.3612</v>
      </c>
      <c r="K1493" t="n">
        <v>0</v>
      </c>
      <c r="L1493" t="n">
        <v>0.851</v>
      </c>
      <c r="M1493" t="n">
        <v>0.149</v>
      </c>
    </row>
    <row r="1494" spans="1:13">
      <c r="A1494" s="1">
        <f>HYPERLINK("http://www.twitter.com/NathanBLawrence/status/992803788472791041", "992803788472791041")</f>
        <v/>
      </c>
      <c r="B1494" s="2" t="n">
        <v>43225.68799768519</v>
      </c>
      <c r="C1494" t="n">
        <v>0</v>
      </c>
      <c r="D1494" t="n">
        <v>595</v>
      </c>
      <c r="E1494" t="s">
        <v>1504</v>
      </c>
      <c r="F1494">
        <f>HYPERLINK("http://pbs.twimg.com/media/Dcb8AVtU0AE9BAN.jpg", "http://pbs.twimg.com/media/Dcb8AVtU0AE9BAN.jpg")</f>
        <v/>
      </c>
      <c r="G1494" t="s"/>
      <c r="H1494" t="s"/>
      <c r="I1494" t="s"/>
      <c r="J1494" t="n">
        <v>0</v>
      </c>
      <c r="K1494" t="n">
        <v>0</v>
      </c>
      <c r="L1494" t="n">
        <v>1</v>
      </c>
      <c r="M1494" t="n">
        <v>0</v>
      </c>
    </row>
    <row r="1495" spans="1:13">
      <c r="A1495" s="1">
        <f>HYPERLINK("http://www.twitter.com/NathanBLawrence/status/992801983927959552", "992801983927959552")</f>
        <v/>
      </c>
      <c r="B1495" s="2" t="n">
        <v>43225.68300925926</v>
      </c>
      <c r="C1495" t="n">
        <v>0</v>
      </c>
      <c r="D1495" t="n">
        <v>357</v>
      </c>
      <c r="E1495" t="s">
        <v>1505</v>
      </c>
      <c r="F1495" t="s"/>
      <c r="G1495" t="s"/>
      <c r="H1495" t="s"/>
      <c r="I1495" t="s"/>
      <c r="J1495" t="n">
        <v>0.8225</v>
      </c>
      <c r="K1495" t="n">
        <v>0</v>
      </c>
      <c r="L1495" t="n">
        <v>0.709</v>
      </c>
      <c r="M1495" t="n">
        <v>0.291</v>
      </c>
    </row>
    <row r="1496" spans="1:13">
      <c r="A1496" s="1">
        <f>HYPERLINK("http://www.twitter.com/NathanBLawrence/status/992801657183334400", "992801657183334400")</f>
        <v/>
      </c>
      <c r="B1496" s="2" t="n">
        <v>43225.68211805556</v>
      </c>
      <c r="C1496" t="n">
        <v>0</v>
      </c>
      <c r="D1496" t="n">
        <v>0</v>
      </c>
      <c r="E1496" t="s">
        <v>1506</v>
      </c>
      <c r="F1496">
        <f>HYPERLINK("http://pbs.twimg.com/media/DcchjEsVQAES0ZL.jpg", "http://pbs.twimg.com/media/DcchjEsVQAES0ZL.jpg")</f>
        <v/>
      </c>
      <c r="G1496" t="s"/>
      <c r="H1496" t="s"/>
      <c r="I1496" t="s"/>
      <c r="J1496" t="n">
        <v>-0.6739000000000001</v>
      </c>
      <c r="K1496" t="n">
        <v>0.14</v>
      </c>
      <c r="L1496" t="n">
        <v>0.86</v>
      </c>
      <c r="M1496" t="n">
        <v>0</v>
      </c>
    </row>
    <row r="1497" spans="1:13">
      <c r="A1497" s="1">
        <f>HYPERLINK("http://www.twitter.com/NathanBLawrence/status/992798588290953216", "992798588290953216")</f>
        <v/>
      </c>
      <c r="B1497" s="2" t="n">
        <v>43225.67364583333</v>
      </c>
      <c r="C1497" t="n">
        <v>0</v>
      </c>
      <c r="D1497" t="n">
        <v>6023</v>
      </c>
      <c r="E1497" t="s">
        <v>1507</v>
      </c>
      <c r="F1497" t="s"/>
      <c r="G1497" t="s"/>
      <c r="H1497" t="s"/>
      <c r="I1497" t="s"/>
      <c r="J1497" t="n">
        <v>0.8122</v>
      </c>
      <c r="K1497" t="n">
        <v>0</v>
      </c>
      <c r="L1497" t="n">
        <v>0.67</v>
      </c>
      <c r="M1497" t="n">
        <v>0.33</v>
      </c>
    </row>
    <row r="1498" spans="1:13">
      <c r="A1498" s="1">
        <f>HYPERLINK("http://www.twitter.com/NathanBLawrence/status/992798504270495744", "992798504270495744")</f>
        <v/>
      </c>
      <c r="B1498" s="2" t="n">
        <v>43225.67341435186</v>
      </c>
      <c r="C1498" t="n">
        <v>0</v>
      </c>
      <c r="D1498" t="n">
        <v>2518</v>
      </c>
      <c r="E1498" t="s">
        <v>1508</v>
      </c>
      <c r="F1498" t="s"/>
      <c r="G1498" t="s"/>
      <c r="H1498" t="s"/>
      <c r="I1498" t="s"/>
      <c r="J1498" t="n">
        <v>0.1828</v>
      </c>
      <c r="K1498" t="n">
        <v>0.101</v>
      </c>
      <c r="L1498" t="n">
        <v>0.769</v>
      </c>
      <c r="M1498" t="n">
        <v>0.13</v>
      </c>
    </row>
    <row r="1499" spans="1:13">
      <c r="A1499" s="1">
        <f>HYPERLINK("http://www.twitter.com/NathanBLawrence/status/992798245821628418", "992798245821628418")</f>
        <v/>
      </c>
      <c r="B1499" s="2" t="n">
        <v>43225.67269675926</v>
      </c>
      <c r="C1499" t="n">
        <v>0</v>
      </c>
      <c r="D1499" t="n">
        <v>19</v>
      </c>
      <c r="E1499" t="s">
        <v>1509</v>
      </c>
      <c r="F1499">
        <f>HYPERLINK("http://pbs.twimg.com/media/DccL8dvXkAAY4G0.jpg", "http://pbs.twimg.com/media/DccL8dvXkAAY4G0.jpg")</f>
        <v/>
      </c>
      <c r="G1499" t="s"/>
      <c r="H1499" t="s"/>
      <c r="I1499" t="s"/>
      <c r="J1499" t="n">
        <v>-0.3853</v>
      </c>
      <c r="K1499" t="n">
        <v>0.116</v>
      </c>
      <c r="L1499" t="n">
        <v>0.884</v>
      </c>
      <c r="M1499" t="n">
        <v>0</v>
      </c>
    </row>
    <row r="1500" spans="1:13">
      <c r="A1500" s="1">
        <f>HYPERLINK("http://www.twitter.com/NathanBLawrence/status/992797953633935360", "992797953633935360")</f>
        <v/>
      </c>
      <c r="B1500" s="2" t="n">
        <v>43225.67189814815</v>
      </c>
      <c r="C1500" t="n">
        <v>0</v>
      </c>
      <c r="D1500" t="n">
        <v>7004</v>
      </c>
      <c r="E1500" t="s">
        <v>1510</v>
      </c>
      <c r="F1500" t="s"/>
      <c r="G1500" t="s"/>
      <c r="H1500" t="s"/>
      <c r="I1500" t="s"/>
      <c r="J1500" t="n">
        <v>-0.8225</v>
      </c>
      <c r="K1500" t="n">
        <v>0.291</v>
      </c>
      <c r="L1500" t="n">
        <v>0.709</v>
      </c>
      <c r="M1500" t="n">
        <v>0</v>
      </c>
    </row>
    <row r="1501" spans="1:13">
      <c r="A1501" s="1">
        <f>HYPERLINK("http://www.twitter.com/NathanBLawrence/status/992797827217555457", "992797827217555457")</f>
        <v/>
      </c>
      <c r="B1501" s="2" t="n">
        <v>43225.67153935185</v>
      </c>
      <c r="C1501" t="n">
        <v>0</v>
      </c>
      <c r="D1501" t="n">
        <v>6506</v>
      </c>
      <c r="E1501" t="s">
        <v>1511</v>
      </c>
      <c r="F1501" t="s"/>
      <c r="G1501" t="s"/>
      <c r="H1501" t="s"/>
      <c r="I1501" t="s"/>
      <c r="J1501" t="n">
        <v>-0.6124000000000001</v>
      </c>
      <c r="K1501" t="n">
        <v>0.185</v>
      </c>
      <c r="L1501" t="n">
        <v>0.8149999999999999</v>
      </c>
      <c r="M1501" t="n">
        <v>0</v>
      </c>
    </row>
    <row r="1502" spans="1:13">
      <c r="A1502" s="1">
        <f>HYPERLINK("http://www.twitter.com/NathanBLawrence/status/992633298990972928", "992633298990972928")</f>
        <v/>
      </c>
      <c r="B1502" s="2" t="n">
        <v>43225.21753472222</v>
      </c>
      <c r="C1502" t="n">
        <v>1</v>
      </c>
      <c r="D1502" t="n">
        <v>1</v>
      </c>
      <c r="E1502" t="s">
        <v>1512</v>
      </c>
      <c r="F1502" t="s"/>
      <c r="G1502" t="s"/>
      <c r="H1502" t="s"/>
      <c r="I1502" t="s"/>
      <c r="J1502" t="n">
        <v>-0.745</v>
      </c>
      <c r="K1502" t="n">
        <v>0.233</v>
      </c>
      <c r="L1502" t="n">
        <v>0.6909999999999999</v>
      </c>
      <c r="M1502" t="n">
        <v>0.076</v>
      </c>
    </row>
    <row r="1503" spans="1:13">
      <c r="A1503" s="1">
        <f>HYPERLINK("http://www.twitter.com/NathanBLawrence/status/992629875398721536", "992629875398721536")</f>
        <v/>
      </c>
      <c r="B1503" s="2" t="n">
        <v>43225.20809027777</v>
      </c>
      <c r="C1503" t="n">
        <v>0</v>
      </c>
      <c r="D1503" t="n">
        <v>0</v>
      </c>
      <c r="E1503" t="s">
        <v>1513</v>
      </c>
      <c r="F1503" t="s"/>
      <c r="G1503" t="s"/>
      <c r="H1503" t="s"/>
      <c r="I1503" t="s"/>
      <c r="J1503" t="n">
        <v>-0.8034</v>
      </c>
      <c r="K1503" t="n">
        <v>0.18</v>
      </c>
      <c r="L1503" t="n">
        <v>0.82</v>
      </c>
      <c r="M1503" t="n">
        <v>0</v>
      </c>
    </row>
    <row r="1504" spans="1:13">
      <c r="A1504" s="1">
        <f>HYPERLINK("http://www.twitter.com/NathanBLawrence/status/992436347636998144", "992436347636998144")</f>
        <v/>
      </c>
      <c r="B1504" s="2" t="n">
        <v>43224.67405092593</v>
      </c>
      <c r="C1504" t="n">
        <v>0</v>
      </c>
      <c r="D1504" t="n">
        <v>193</v>
      </c>
      <c r="E1504" t="s">
        <v>1514</v>
      </c>
      <c r="F1504">
        <f>HYPERLINK("http://pbs.twimg.com/media/DcXM-tOX4Aco2wb.jpg", "http://pbs.twimg.com/media/DcXM-tOX4Aco2wb.jpg")</f>
        <v/>
      </c>
      <c r="G1504" t="s"/>
      <c r="H1504" t="s"/>
      <c r="I1504" t="s"/>
      <c r="J1504" t="n">
        <v>0.3129</v>
      </c>
      <c r="K1504" t="n">
        <v>0.188</v>
      </c>
      <c r="L1504" t="n">
        <v>0.674</v>
      </c>
      <c r="M1504" t="n">
        <v>0.138</v>
      </c>
    </row>
    <row r="1505" spans="1:13">
      <c r="A1505" s="1">
        <f>HYPERLINK("http://www.twitter.com/NathanBLawrence/status/992436275666935808", "992436275666935808")</f>
        <v/>
      </c>
      <c r="B1505" s="2" t="n">
        <v>43224.67385416666</v>
      </c>
      <c r="C1505" t="n">
        <v>0</v>
      </c>
      <c r="D1505" t="n">
        <v>143</v>
      </c>
      <c r="E1505" t="s">
        <v>1515</v>
      </c>
      <c r="F1505">
        <f>HYPERLINK("https://video.twimg.com/amplify_video/992422268599963649/vid/1280x720/HOwNJfIdZXJtAw28.mp4?tag=2", "https://video.twimg.com/amplify_video/992422268599963649/vid/1280x720/HOwNJfIdZXJtAw28.mp4?tag=2")</f>
        <v/>
      </c>
      <c r="G1505" t="s"/>
      <c r="H1505" t="s"/>
      <c r="I1505" t="s"/>
      <c r="J1505" t="n">
        <v>-0.4019</v>
      </c>
      <c r="K1505" t="n">
        <v>0.13</v>
      </c>
      <c r="L1505" t="n">
        <v>0.87</v>
      </c>
      <c r="M1505" t="n">
        <v>0</v>
      </c>
    </row>
    <row r="1506" spans="1:13">
      <c r="A1506" s="1">
        <f>HYPERLINK("http://www.twitter.com/NathanBLawrence/status/992436178266873857", "992436178266873857")</f>
        <v/>
      </c>
      <c r="B1506" s="2" t="n">
        <v>43224.67358796296</v>
      </c>
      <c r="C1506" t="n">
        <v>0</v>
      </c>
      <c r="D1506" t="n">
        <v>4573</v>
      </c>
      <c r="E1506" t="s">
        <v>1516</v>
      </c>
      <c r="F1506" t="s"/>
      <c r="G1506" t="s"/>
      <c r="H1506" t="s"/>
      <c r="I1506" t="s"/>
      <c r="J1506" t="n">
        <v>0.296</v>
      </c>
      <c r="K1506" t="n">
        <v>0</v>
      </c>
      <c r="L1506" t="n">
        <v>0.872</v>
      </c>
      <c r="M1506" t="n">
        <v>0.128</v>
      </c>
    </row>
    <row r="1507" spans="1:13">
      <c r="A1507" s="1">
        <f>HYPERLINK("http://www.twitter.com/NathanBLawrence/status/992436140077613056", "992436140077613056")</f>
        <v/>
      </c>
      <c r="B1507" s="2" t="n">
        <v>43224.67348379629</v>
      </c>
      <c r="C1507" t="n">
        <v>0</v>
      </c>
      <c r="D1507" t="n">
        <v>1068</v>
      </c>
      <c r="E1507" t="s">
        <v>1517</v>
      </c>
      <c r="F1507">
        <f>HYPERLINK("https://video.twimg.com/amplify_video/992425143644323840/vid/1280x720/utnKySWhjeyTpsBH.mp4?tag=2", "https://video.twimg.com/amplify_video/992425143644323840/vid/1280x720/utnKySWhjeyTpsBH.mp4?tag=2")</f>
        <v/>
      </c>
      <c r="G1507" t="s"/>
      <c r="H1507" t="s"/>
      <c r="I1507" t="s"/>
      <c r="J1507" t="n">
        <v>-0.4939</v>
      </c>
      <c r="K1507" t="n">
        <v>0.149</v>
      </c>
      <c r="L1507" t="n">
        <v>0.784</v>
      </c>
      <c r="M1507" t="n">
        <v>0.067</v>
      </c>
    </row>
    <row r="1508" spans="1:13">
      <c r="A1508" s="1">
        <f>HYPERLINK("http://www.twitter.com/NathanBLawrence/status/992436000151531520", "992436000151531520")</f>
        <v/>
      </c>
      <c r="B1508" s="2" t="n">
        <v>43224.67309027778</v>
      </c>
      <c r="C1508" t="n">
        <v>0</v>
      </c>
      <c r="D1508" t="n">
        <v>453</v>
      </c>
      <c r="E1508" t="s">
        <v>1518</v>
      </c>
      <c r="F1508">
        <f>HYPERLINK("http://pbs.twimg.com/media/DcXSd_NX0AEc2Zf.jpg", "http://pbs.twimg.com/media/DcXSd_NX0AEc2Zf.jpg")</f>
        <v/>
      </c>
      <c r="G1508" t="s"/>
      <c r="H1508" t="s"/>
      <c r="I1508" t="s"/>
      <c r="J1508" t="n">
        <v>0.128</v>
      </c>
      <c r="K1508" t="n">
        <v>0</v>
      </c>
      <c r="L1508" t="n">
        <v>0.88</v>
      </c>
      <c r="M1508" t="n">
        <v>0.12</v>
      </c>
    </row>
    <row r="1509" spans="1:13">
      <c r="A1509" s="1">
        <f>HYPERLINK("http://www.twitter.com/NathanBLawrence/status/992435953301155841", "992435953301155841")</f>
        <v/>
      </c>
      <c r="B1509" s="2" t="n">
        <v>43224.67296296296</v>
      </c>
      <c r="C1509" t="n">
        <v>0</v>
      </c>
      <c r="D1509" t="n">
        <v>284</v>
      </c>
      <c r="E1509" t="s">
        <v>1519</v>
      </c>
      <c r="F1509" t="s"/>
      <c r="G1509" t="s"/>
      <c r="H1509" t="s"/>
      <c r="I1509" t="s"/>
      <c r="J1509" t="n">
        <v>-0.5574</v>
      </c>
      <c r="K1509" t="n">
        <v>0.194</v>
      </c>
      <c r="L1509" t="n">
        <v>0.806</v>
      </c>
      <c r="M1509" t="n">
        <v>0</v>
      </c>
    </row>
    <row r="1510" spans="1:13">
      <c r="A1510" s="1">
        <f>HYPERLINK("http://www.twitter.com/NathanBLawrence/status/992435819792171010", "992435819792171010")</f>
        <v/>
      </c>
      <c r="B1510" s="2" t="n">
        <v>43224.67259259259</v>
      </c>
      <c r="C1510" t="n">
        <v>0</v>
      </c>
      <c r="D1510" t="n">
        <v>450</v>
      </c>
      <c r="E1510" t="s">
        <v>1520</v>
      </c>
      <c r="F1510" t="s"/>
      <c r="G1510" t="s"/>
      <c r="H1510" t="s"/>
      <c r="I1510" t="s"/>
      <c r="J1510" t="n">
        <v>-0.8316</v>
      </c>
      <c r="K1510" t="n">
        <v>0.366</v>
      </c>
      <c r="L1510" t="n">
        <v>0.634</v>
      </c>
      <c r="M1510" t="n">
        <v>0</v>
      </c>
    </row>
    <row r="1511" spans="1:13">
      <c r="A1511" s="1">
        <f>HYPERLINK("http://www.twitter.com/NathanBLawrence/status/992435722652192768", "992435722652192768")</f>
        <v/>
      </c>
      <c r="B1511" s="2" t="n">
        <v>43224.67232638889</v>
      </c>
      <c r="C1511" t="n">
        <v>0</v>
      </c>
      <c r="D1511" t="n">
        <v>168</v>
      </c>
      <c r="E1511" t="s">
        <v>1521</v>
      </c>
      <c r="F1511">
        <f>HYPERLINK("http://pbs.twimg.com/media/DcXMU-NV4AA8oeD.jpg", "http://pbs.twimg.com/media/DcXMU-NV4AA8oeD.jpg")</f>
        <v/>
      </c>
      <c r="G1511">
        <f>HYPERLINK("http://pbs.twimg.com/media/DcXMVULVMAAC4_t.jpg", "http://pbs.twimg.com/media/DcXMVULVMAAC4_t.jpg")</f>
        <v/>
      </c>
      <c r="H1511">
        <f>HYPERLINK("http://pbs.twimg.com/media/DcXMVq5U0AIbhXN.jpg", "http://pbs.twimg.com/media/DcXMVq5U0AIbhXN.jpg")</f>
        <v/>
      </c>
      <c r="I1511" t="s"/>
      <c r="J1511" t="n">
        <v>0.4995</v>
      </c>
      <c r="K1511" t="n">
        <v>0</v>
      </c>
      <c r="L1511" t="n">
        <v>0.855</v>
      </c>
      <c r="M1511" t="n">
        <v>0.145</v>
      </c>
    </row>
    <row r="1512" spans="1:13">
      <c r="A1512" s="1">
        <f>HYPERLINK("http://www.twitter.com/NathanBLawrence/status/992435458624892928", "992435458624892928")</f>
        <v/>
      </c>
      <c r="B1512" s="2" t="n">
        <v>43224.67159722222</v>
      </c>
      <c r="C1512" t="n">
        <v>0</v>
      </c>
      <c r="D1512" t="n">
        <v>1319</v>
      </c>
      <c r="E1512" t="s">
        <v>1522</v>
      </c>
      <c r="F1512" t="s"/>
      <c r="G1512" t="s"/>
      <c r="H1512" t="s"/>
      <c r="I1512" t="s"/>
      <c r="J1512" t="n">
        <v>0.4215</v>
      </c>
      <c r="K1512" t="n">
        <v>0</v>
      </c>
      <c r="L1512" t="n">
        <v>0.8080000000000001</v>
      </c>
      <c r="M1512" t="n">
        <v>0.192</v>
      </c>
    </row>
    <row r="1513" spans="1:13">
      <c r="A1513" s="1">
        <f>HYPERLINK("http://www.twitter.com/NathanBLawrence/status/992435340295229443", "992435340295229443")</f>
        <v/>
      </c>
      <c r="B1513" s="2" t="n">
        <v>43224.67127314815</v>
      </c>
      <c r="C1513" t="n">
        <v>0</v>
      </c>
      <c r="D1513" t="n">
        <v>252</v>
      </c>
      <c r="E1513" t="s">
        <v>1523</v>
      </c>
      <c r="F1513">
        <f>HYPERLINK("http://pbs.twimg.com/media/DcXPflZU8AAq7Ep.jpg", "http://pbs.twimg.com/media/DcXPflZU8AAq7Ep.jpg")</f>
        <v/>
      </c>
      <c r="G1513" t="s"/>
      <c r="H1513" t="s"/>
      <c r="I1513" t="s"/>
      <c r="J1513" t="n">
        <v>0</v>
      </c>
      <c r="K1513" t="n">
        <v>0</v>
      </c>
      <c r="L1513" t="n">
        <v>1</v>
      </c>
      <c r="M1513" t="n">
        <v>0</v>
      </c>
    </row>
    <row r="1514" spans="1:13">
      <c r="A1514" s="1">
        <f>HYPERLINK("http://www.twitter.com/NathanBLawrence/status/992435280295718913", "992435280295718913")</f>
        <v/>
      </c>
      <c r="B1514" s="2" t="n">
        <v>43224.67111111111</v>
      </c>
      <c r="C1514" t="n">
        <v>0</v>
      </c>
      <c r="D1514" t="n">
        <v>3</v>
      </c>
      <c r="E1514" t="s">
        <v>1524</v>
      </c>
      <c r="F1514" t="s"/>
      <c r="G1514" t="s"/>
      <c r="H1514" t="s"/>
      <c r="I1514" t="s"/>
      <c r="J1514" t="n">
        <v>0</v>
      </c>
      <c r="K1514" t="n">
        <v>0</v>
      </c>
      <c r="L1514" t="n">
        <v>1</v>
      </c>
      <c r="M1514" t="n">
        <v>0</v>
      </c>
    </row>
    <row r="1515" spans="1:13">
      <c r="A1515" s="1">
        <f>HYPERLINK("http://www.twitter.com/NathanBLawrence/status/992435158673477632", "992435158673477632")</f>
        <v/>
      </c>
      <c r="B1515" s="2" t="n">
        <v>43224.67077546296</v>
      </c>
      <c r="C1515" t="n">
        <v>0</v>
      </c>
      <c r="D1515" t="n">
        <v>591</v>
      </c>
      <c r="E1515" t="s">
        <v>1525</v>
      </c>
      <c r="F1515" t="s"/>
      <c r="G1515" t="s"/>
      <c r="H1515" t="s"/>
      <c r="I1515" t="s"/>
      <c r="J1515" t="n">
        <v>0</v>
      </c>
      <c r="K1515" t="n">
        <v>0</v>
      </c>
      <c r="L1515" t="n">
        <v>1</v>
      </c>
      <c r="M1515" t="n">
        <v>0</v>
      </c>
    </row>
    <row r="1516" spans="1:13">
      <c r="A1516" s="1">
        <f>HYPERLINK("http://www.twitter.com/NathanBLawrence/status/992435114117423106", "992435114117423106")</f>
        <v/>
      </c>
      <c r="B1516" s="2" t="n">
        <v>43224.67064814815</v>
      </c>
      <c r="C1516" t="n">
        <v>0</v>
      </c>
      <c r="D1516" t="n">
        <v>2325</v>
      </c>
      <c r="E1516" t="s">
        <v>1526</v>
      </c>
      <c r="F1516" t="s"/>
      <c r="G1516" t="s"/>
      <c r="H1516" t="s"/>
      <c r="I1516" t="s"/>
      <c r="J1516" t="n">
        <v>-0.2023</v>
      </c>
      <c r="K1516" t="n">
        <v>0.111</v>
      </c>
      <c r="L1516" t="n">
        <v>0.8120000000000001</v>
      </c>
      <c r="M1516" t="n">
        <v>0.077</v>
      </c>
    </row>
    <row r="1517" spans="1:13">
      <c r="A1517" s="1">
        <f>HYPERLINK("http://www.twitter.com/NathanBLawrence/status/992435023684005888", "992435023684005888")</f>
        <v/>
      </c>
      <c r="B1517" s="2" t="n">
        <v>43224.67039351852</v>
      </c>
      <c r="C1517" t="n">
        <v>0</v>
      </c>
      <c r="D1517" t="n">
        <v>317</v>
      </c>
      <c r="E1517" t="s">
        <v>1527</v>
      </c>
      <c r="F1517" t="s"/>
      <c r="G1517" t="s"/>
      <c r="H1517" t="s"/>
      <c r="I1517" t="s"/>
      <c r="J1517" t="n">
        <v>-0.4404</v>
      </c>
      <c r="K1517" t="n">
        <v>0.127</v>
      </c>
      <c r="L1517" t="n">
        <v>0.873</v>
      </c>
      <c r="M1517" t="n">
        <v>0</v>
      </c>
    </row>
    <row r="1518" spans="1:13">
      <c r="A1518" s="1">
        <f>HYPERLINK("http://www.twitter.com/NathanBLawrence/status/992434973176225793", "992434973176225793")</f>
        <v/>
      </c>
      <c r="B1518" s="2" t="n">
        <v>43224.67025462963</v>
      </c>
      <c r="C1518" t="n">
        <v>0</v>
      </c>
      <c r="D1518" t="n">
        <v>5727</v>
      </c>
      <c r="E1518" t="s">
        <v>1528</v>
      </c>
      <c r="F1518" t="s"/>
      <c r="G1518" t="s"/>
      <c r="H1518" t="s"/>
      <c r="I1518" t="s"/>
      <c r="J1518" t="n">
        <v>-0.4767</v>
      </c>
      <c r="K1518" t="n">
        <v>0.14</v>
      </c>
      <c r="L1518" t="n">
        <v>0.86</v>
      </c>
      <c r="M1518" t="n">
        <v>0</v>
      </c>
    </row>
    <row r="1519" spans="1:13">
      <c r="A1519" s="1">
        <f>HYPERLINK("http://www.twitter.com/NathanBLawrence/status/992434875184672768", "992434875184672768")</f>
        <v/>
      </c>
      <c r="B1519" s="2" t="n">
        <v>43224.66998842593</v>
      </c>
      <c r="C1519" t="n">
        <v>0</v>
      </c>
      <c r="D1519" t="n">
        <v>709</v>
      </c>
      <c r="E1519" t="s">
        <v>1529</v>
      </c>
      <c r="F1519" t="s"/>
      <c r="G1519" t="s"/>
      <c r="H1519" t="s"/>
      <c r="I1519" t="s"/>
      <c r="J1519" t="n">
        <v>0.8074</v>
      </c>
      <c r="K1519" t="n">
        <v>0</v>
      </c>
      <c r="L1519" t="n">
        <v>0.781</v>
      </c>
      <c r="M1519" t="n">
        <v>0.219</v>
      </c>
    </row>
    <row r="1520" spans="1:13">
      <c r="A1520" s="1">
        <f>HYPERLINK("http://www.twitter.com/NathanBLawrence/status/992434789948026880", "992434789948026880")</f>
        <v/>
      </c>
      <c r="B1520" s="2" t="n">
        <v>43224.66975694444</v>
      </c>
      <c r="C1520" t="n">
        <v>0</v>
      </c>
      <c r="D1520" t="n">
        <v>850</v>
      </c>
      <c r="E1520" t="s">
        <v>1530</v>
      </c>
      <c r="F1520" t="s"/>
      <c r="G1520" t="s"/>
      <c r="H1520" t="s"/>
      <c r="I1520" t="s"/>
      <c r="J1520" t="n">
        <v>0.0772</v>
      </c>
      <c r="K1520" t="n">
        <v>0.096</v>
      </c>
      <c r="L1520" t="n">
        <v>0.797</v>
      </c>
      <c r="M1520" t="n">
        <v>0.108</v>
      </c>
    </row>
    <row r="1521" spans="1:13">
      <c r="A1521" s="1">
        <f>HYPERLINK("http://www.twitter.com/NathanBLawrence/status/992434725611556864", "992434725611556864")</f>
        <v/>
      </c>
      <c r="B1521" s="2" t="n">
        <v>43224.66957175926</v>
      </c>
      <c r="C1521" t="n">
        <v>0</v>
      </c>
      <c r="D1521" t="n">
        <v>8083</v>
      </c>
      <c r="E1521" t="s">
        <v>1531</v>
      </c>
      <c r="F1521" t="s"/>
      <c r="G1521" t="s"/>
      <c r="H1521" t="s"/>
      <c r="I1521" t="s"/>
      <c r="J1521" t="n">
        <v>-0.25</v>
      </c>
      <c r="K1521" t="n">
        <v>0.183</v>
      </c>
      <c r="L1521" t="n">
        <v>0.709</v>
      </c>
      <c r="M1521" t="n">
        <v>0.108</v>
      </c>
    </row>
    <row r="1522" spans="1:13">
      <c r="A1522" s="1">
        <f>HYPERLINK("http://www.twitter.com/NathanBLawrence/status/992434664194310145", "992434664194310145")</f>
        <v/>
      </c>
      <c r="B1522" s="2" t="n">
        <v>43224.66940972222</v>
      </c>
      <c r="C1522" t="n">
        <v>0</v>
      </c>
      <c r="D1522" t="n">
        <v>0</v>
      </c>
      <c r="E1522" t="s">
        <v>1532</v>
      </c>
      <c r="F1522" t="s"/>
      <c r="G1522" t="s"/>
      <c r="H1522" t="s"/>
      <c r="I1522" t="s"/>
      <c r="J1522" t="n">
        <v>0</v>
      </c>
      <c r="K1522" t="n">
        <v>0</v>
      </c>
      <c r="L1522" t="n">
        <v>1</v>
      </c>
      <c r="M1522" t="n">
        <v>0</v>
      </c>
    </row>
    <row r="1523" spans="1:13">
      <c r="A1523" s="1">
        <f>HYPERLINK("http://www.twitter.com/NathanBLawrence/status/992434532547743746", "992434532547743746")</f>
        <v/>
      </c>
      <c r="B1523" s="2" t="n">
        <v>43224.66903935185</v>
      </c>
      <c r="C1523" t="n">
        <v>0</v>
      </c>
      <c r="D1523" t="n">
        <v>434</v>
      </c>
      <c r="E1523" t="s">
        <v>1533</v>
      </c>
      <c r="F1523" t="s"/>
      <c r="G1523" t="s"/>
      <c r="H1523" t="s"/>
      <c r="I1523" t="s"/>
      <c r="J1523" t="n">
        <v>0</v>
      </c>
      <c r="K1523" t="n">
        <v>0</v>
      </c>
      <c r="L1523" t="n">
        <v>1</v>
      </c>
      <c r="M1523" t="n">
        <v>0</v>
      </c>
    </row>
    <row r="1524" spans="1:13">
      <c r="A1524" s="1">
        <f>HYPERLINK("http://www.twitter.com/NathanBLawrence/status/992434505133838336", "992434505133838336")</f>
        <v/>
      </c>
      <c r="B1524" s="2" t="n">
        <v>43224.6689699074</v>
      </c>
      <c r="C1524" t="n">
        <v>0</v>
      </c>
      <c r="D1524" t="n">
        <v>603</v>
      </c>
      <c r="E1524" t="s">
        <v>1534</v>
      </c>
      <c r="F1524" t="s"/>
      <c r="G1524" t="s"/>
      <c r="H1524" t="s"/>
      <c r="I1524" t="s"/>
      <c r="J1524" t="n">
        <v>-0.4939</v>
      </c>
      <c r="K1524" t="n">
        <v>0.222</v>
      </c>
      <c r="L1524" t="n">
        <v>0.677</v>
      </c>
      <c r="M1524" t="n">
        <v>0.102</v>
      </c>
    </row>
    <row r="1525" spans="1:13">
      <c r="A1525" s="1">
        <f>HYPERLINK("http://www.twitter.com/NathanBLawrence/status/992434187738247169", "992434187738247169")</f>
        <v/>
      </c>
      <c r="B1525" s="2" t="n">
        <v>43224.66809027778</v>
      </c>
      <c r="C1525" t="n">
        <v>0</v>
      </c>
      <c r="D1525" t="n">
        <v>8851</v>
      </c>
      <c r="E1525" t="s">
        <v>1535</v>
      </c>
      <c r="F1525" t="s"/>
      <c r="G1525" t="s"/>
      <c r="H1525" t="s"/>
      <c r="I1525" t="s"/>
      <c r="J1525" t="n">
        <v>-0.4588</v>
      </c>
      <c r="K1525" t="n">
        <v>0.23</v>
      </c>
      <c r="L1525" t="n">
        <v>0.647</v>
      </c>
      <c r="M1525" t="n">
        <v>0.122</v>
      </c>
    </row>
    <row r="1526" spans="1:13">
      <c r="A1526" s="1">
        <f>HYPERLINK("http://www.twitter.com/NathanBLawrence/status/992434043793879040", "992434043793879040")</f>
        <v/>
      </c>
      <c r="B1526" s="2" t="n">
        <v>43224.66769675926</v>
      </c>
      <c r="C1526" t="n">
        <v>0</v>
      </c>
      <c r="D1526" t="n">
        <v>6239</v>
      </c>
      <c r="E1526" t="s">
        <v>1536</v>
      </c>
      <c r="F1526" t="s"/>
      <c r="G1526" t="s"/>
      <c r="H1526" t="s"/>
      <c r="I1526" t="s"/>
      <c r="J1526" t="n">
        <v>0.6467000000000001</v>
      </c>
      <c r="K1526" t="n">
        <v>0</v>
      </c>
      <c r="L1526" t="n">
        <v>0.711</v>
      </c>
      <c r="M1526" t="n">
        <v>0.289</v>
      </c>
    </row>
    <row r="1527" spans="1:13">
      <c r="A1527" s="1">
        <f>HYPERLINK("http://www.twitter.com/NathanBLawrence/status/992433991033729024", "992433991033729024")</f>
        <v/>
      </c>
      <c r="B1527" s="2" t="n">
        <v>43224.6675462963</v>
      </c>
      <c r="C1527" t="n">
        <v>0</v>
      </c>
      <c r="D1527" t="n">
        <v>3009</v>
      </c>
      <c r="E1527" t="s">
        <v>1537</v>
      </c>
      <c r="F1527" t="s"/>
      <c r="G1527" t="s"/>
      <c r="H1527" t="s"/>
      <c r="I1527" t="s"/>
      <c r="J1527" t="n">
        <v>-0.4703</v>
      </c>
      <c r="K1527" t="n">
        <v>0.122</v>
      </c>
      <c r="L1527" t="n">
        <v>0.878</v>
      </c>
      <c r="M1527" t="n">
        <v>0</v>
      </c>
    </row>
    <row r="1528" spans="1:13">
      <c r="A1528" s="1">
        <f>HYPERLINK("http://www.twitter.com/NathanBLawrence/status/992433882564833282", "992433882564833282")</f>
        <v/>
      </c>
      <c r="B1528" s="2" t="n">
        <v>43224.66724537037</v>
      </c>
      <c r="C1528" t="n">
        <v>0</v>
      </c>
      <c r="D1528" t="n">
        <v>3001</v>
      </c>
      <c r="E1528" t="s">
        <v>1538</v>
      </c>
      <c r="F1528">
        <f>HYPERLINK("https://video.twimg.com/ext_tw_video/992119302923870208/pu/vid/638x360/OGRy-uHDP-ICcao8.mp4?tag=3", "https://video.twimg.com/ext_tw_video/992119302923870208/pu/vid/638x360/OGRy-uHDP-ICcao8.mp4?tag=3")</f>
        <v/>
      </c>
      <c r="G1528" t="s"/>
      <c r="H1528" t="s"/>
      <c r="I1528" t="s"/>
      <c r="J1528" t="n">
        <v>-0.1027</v>
      </c>
      <c r="K1528" t="n">
        <v>0.08</v>
      </c>
      <c r="L1528" t="n">
        <v>0.92</v>
      </c>
      <c r="M1528" t="n">
        <v>0</v>
      </c>
    </row>
    <row r="1529" spans="1:13">
      <c r="A1529" s="1">
        <f>HYPERLINK("http://www.twitter.com/NathanBLawrence/status/992433714750771200", "992433714750771200")</f>
        <v/>
      </c>
      <c r="B1529" s="2" t="n">
        <v>43224.66678240741</v>
      </c>
      <c r="C1529" t="n">
        <v>0</v>
      </c>
      <c r="D1529" t="n">
        <v>6981</v>
      </c>
      <c r="E1529" t="s">
        <v>1539</v>
      </c>
      <c r="F1529" t="s"/>
      <c r="G1529" t="s"/>
      <c r="H1529" t="s"/>
      <c r="I1529" t="s"/>
      <c r="J1529" t="n">
        <v>-0.296</v>
      </c>
      <c r="K1529" t="n">
        <v>0.091</v>
      </c>
      <c r="L1529" t="n">
        <v>0.909</v>
      </c>
      <c r="M1529" t="n">
        <v>0</v>
      </c>
    </row>
    <row r="1530" spans="1:13">
      <c r="A1530" s="1">
        <f>HYPERLINK("http://www.twitter.com/NathanBLawrence/status/992433599512227840", "992433599512227840")</f>
        <v/>
      </c>
      <c r="B1530" s="2" t="n">
        <v>43224.66646990741</v>
      </c>
      <c r="C1530" t="n">
        <v>0</v>
      </c>
      <c r="D1530" t="n">
        <v>5125</v>
      </c>
      <c r="E1530" t="s">
        <v>1540</v>
      </c>
      <c r="F1530">
        <f>HYPERLINK("http://pbs.twimg.com/media/DcULsgmW0AEii6I.jpg", "http://pbs.twimg.com/media/DcULsgmW0AEii6I.jpg")</f>
        <v/>
      </c>
      <c r="G1530" t="s"/>
      <c r="H1530" t="s"/>
      <c r="I1530" t="s"/>
      <c r="J1530" t="n">
        <v>-0.4939</v>
      </c>
      <c r="K1530" t="n">
        <v>0.132</v>
      </c>
      <c r="L1530" t="n">
        <v>0.868</v>
      </c>
      <c r="M1530" t="n">
        <v>0</v>
      </c>
    </row>
    <row r="1531" spans="1:13">
      <c r="A1531" s="1">
        <f>HYPERLINK("http://www.twitter.com/NathanBLawrence/status/992433497150193664", "992433497150193664")</f>
        <v/>
      </c>
      <c r="B1531" s="2" t="n">
        <v>43224.66618055556</v>
      </c>
      <c r="C1531" t="n">
        <v>0</v>
      </c>
      <c r="D1531" t="n">
        <v>453</v>
      </c>
      <c r="E1531" t="s">
        <v>1541</v>
      </c>
      <c r="F1531" t="s"/>
      <c r="G1531" t="s"/>
      <c r="H1531" t="s"/>
      <c r="I1531" t="s"/>
      <c r="J1531" t="n">
        <v>0.296</v>
      </c>
      <c r="K1531" t="n">
        <v>0.117</v>
      </c>
      <c r="L1531" t="n">
        <v>0.6820000000000001</v>
      </c>
      <c r="M1531" t="n">
        <v>0.201</v>
      </c>
    </row>
    <row r="1532" spans="1:13">
      <c r="A1532" s="1">
        <f>HYPERLINK("http://www.twitter.com/NathanBLawrence/status/992419904908242944", "992419904908242944")</f>
        <v/>
      </c>
      <c r="B1532" s="2" t="n">
        <v>43224.62868055556</v>
      </c>
      <c r="C1532" t="n">
        <v>0</v>
      </c>
      <c r="D1532" t="n">
        <v>3021</v>
      </c>
      <c r="E1532" t="s">
        <v>1542</v>
      </c>
      <c r="F1532">
        <f>HYPERLINK("http://pbs.twimg.com/media/DcW_GQPVQAEeiW7.jpg", "http://pbs.twimg.com/media/DcW_GQPVQAEeiW7.jpg")</f>
        <v/>
      </c>
      <c r="G1532" t="s"/>
      <c r="H1532" t="s"/>
      <c r="I1532" t="s"/>
      <c r="J1532" t="n">
        <v>0.508</v>
      </c>
      <c r="K1532" t="n">
        <v>0</v>
      </c>
      <c r="L1532" t="n">
        <v>0.477</v>
      </c>
      <c r="M1532" t="n">
        <v>0.523</v>
      </c>
    </row>
    <row r="1533" spans="1:13">
      <c r="A1533" s="1">
        <f>HYPERLINK("http://www.twitter.com/NathanBLawrence/status/992292302876950530", "992292302876950530")</f>
        <v/>
      </c>
      <c r="B1533" s="2" t="n">
        <v>43224.2765625</v>
      </c>
      <c r="C1533" t="n">
        <v>0</v>
      </c>
      <c r="D1533" t="n">
        <v>626</v>
      </c>
      <c r="E1533" t="s">
        <v>1543</v>
      </c>
      <c r="F1533" t="s"/>
      <c r="G1533" t="s"/>
      <c r="H1533" t="s"/>
      <c r="I1533" t="s"/>
      <c r="J1533" t="n">
        <v>0.3034</v>
      </c>
      <c r="K1533" t="n">
        <v>0.08599999999999999</v>
      </c>
      <c r="L1533" t="n">
        <v>0.778</v>
      </c>
      <c r="M1533" t="n">
        <v>0.136</v>
      </c>
    </row>
    <row r="1534" spans="1:13">
      <c r="A1534" s="1">
        <f>HYPERLINK("http://www.twitter.com/NathanBLawrence/status/992292247822467072", "992292247822467072")</f>
        <v/>
      </c>
      <c r="B1534" s="2" t="n">
        <v>43224.27641203703</v>
      </c>
      <c r="C1534" t="n">
        <v>0</v>
      </c>
      <c r="D1534" t="n">
        <v>1230</v>
      </c>
      <c r="E1534" t="s">
        <v>1544</v>
      </c>
      <c r="F1534">
        <f>HYPERLINK("http://pbs.twimg.com/media/DcTCQxbWAAYlB0Y.jpg", "http://pbs.twimg.com/media/DcTCQxbWAAYlB0Y.jpg")</f>
        <v/>
      </c>
      <c r="G1534" t="s"/>
      <c r="H1534" t="s"/>
      <c r="I1534" t="s"/>
      <c r="J1534" t="n">
        <v>0.5461</v>
      </c>
      <c r="K1534" t="n">
        <v>0</v>
      </c>
      <c r="L1534" t="n">
        <v>0.773</v>
      </c>
      <c r="M1534" t="n">
        <v>0.227</v>
      </c>
    </row>
    <row r="1535" spans="1:13">
      <c r="A1535" s="1">
        <f>HYPERLINK("http://www.twitter.com/NathanBLawrence/status/992292205732610049", "992292205732610049")</f>
        <v/>
      </c>
      <c r="B1535" s="2" t="n">
        <v>43224.2762962963</v>
      </c>
      <c r="C1535" t="n">
        <v>0</v>
      </c>
      <c r="D1535" t="n">
        <v>132</v>
      </c>
      <c r="E1535" t="s">
        <v>1545</v>
      </c>
      <c r="F1535" t="s"/>
      <c r="G1535" t="s"/>
      <c r="H1535" t="s"/>
      <c r="I1535" t="s"/>
      <c r="J1535" t="n">
        <v>0.3818</v>
      </c>
      <c r="K1535" t="n">
        <v>0</v>
      </c>
      <c r="L1535" t="n">
        <v>0.867</v>
      </c>
      <c r="M1535" t="n">
        <v>0.133</v>
      </c>
    </row>
    <row r="1536" spans="1:13">
      <c r="A1536" s="1">
        <f>HYPERLINK("http://www.twitter.com/NathanBLawrence/status/992292127668297729", "992292127668297729")</f>
        <v/>
      </c>
      <c r="B1536" s="2" t="n">
        <v>43224.27607638889</v>
      </c>
      <c r="C1536" t="n">
        <v>0</v>
      </c>
      <c r="D1536" t="n">
        <v>429</v>
      </c>
      <c r="E1536" t="s">
        <v>1546</v>
      </c>
      <c r="F1536">
        <f>HYPERLINK("http://pbs.twimg.com/media/DcTpD-SVwAA64UG.jpg", "http://pbs.twimg.com/media/DcTpD-SVwAA64UG.jpg")</f>
        <v/>
      </c>
      <c r="G1536" t="s"/>
      <c r="H1536" t="s"/>
      <c r="I1536" t="s"/>
      <c r="J1536" t="n">
        <v>0</v>
      </c>
      <c r="K1536" t="n">
        <v>0</v>
      </c>
      <c r="L1536" t="n">
        <v>1</v>
      </c>
      <c r="M1536" t="n">
        <v>0</v>
      </c>
    </row>
    <row r="1537" spans="1:13">
      <c r="A1537" s="1">
        <f>HYPERLINK("http://www.twitter.com/NathanBLawrence/status/992291982478270465", "992291982478270465")</f>
        <v/>
      </c>
      <c r="B1537" s="2" t="n">
        <v>43224.27568287037</v>
      </c>
      <c r="C1537" t="n">
        <v>0</v>
      </c>
      <c r="D1537" t="n">
        <v>35</v>
      </c>
      <c r="E1537" t="s">
        <v>1547</v>
      </c>
      <c r="F1537" t="s"/>
      <c r="G1537" t="s"/>
      <c r="H1537" t="s"/>
      <c r="I1537" t="s"/>
      <c r="J1537" t="n">
        <v>0</v>
      </c>
      <c r="K1537" t="n">
        <v>0</v>
      </c>
      <c r="L1537" t="n">
        <v>1</v>
      </c>
      <c r="M1537" t="n">
        <v>0</v>
      </c>
    </row>
    <row r="1538" spans="1:13">
      <c r="A1538" s="1">
        <f>HYPERLINK("http://www.twitter.com/NathanBLawrence/status/992291879357067264", "992291879357067264")</f>
        <v/>
      </c>
      <c r="B1538" s="2" t="n">
        <v>43224.27539351852</v>
      </c>
      <c r="C1538" t="n">
        <v>0</v>
      </c>
      <c r="D1538" t="n">
        <v>230</v>
      </c>
      <c r="E1538" t="s">
        <v>1548</v>
      </c>
      <c r="F1538">
        <f>HYPERLINK("http://pbs.twimg.com/media/DcTwESaWsAAxG2b.jpg", "http://pbs.twimg.com/media/DcTwESaWsAAxG2b.jpg")</f>
        <v/>
      </c>
      <c r="G1538" t="s"/>
      <c r="H1538" t="s"/>
      <c r="I1538" t="s"/>
      <c r="J1538" t="n">
        <v>0.128</v>
      </c>
      <c r="K1538" t="n">
        <v>0.166</v>
      </c>
      <c r="L1538" t="n">
        <v>0.645</v>
      </c>
      <c r="M1538" t="n">
        <v>0.189</v>
      </c>
    </row>
    <row r="1539" spans="1:13">
      <c r="A1539" s="1">
        <f>HYPERLINK("http://www.twitter.com/NathanBLawrence/status/992291717775687680", "992291717775687680")</f>
        <v/>
      </c>
      <c r="B1539" s="2" t="n">
        <v>43224.2749537037</v>
      </c>
      <c r="C1539" t="n">
        <v>0</v>
      </c>
      <c r="D1539" t="n">
        <v>1748</v>
      </c>
      <c r="E1539" t="s">
        <v>1549</v>
      </c>
      <c r="F1539" t="s"/>
      <c r="G1539" t="s"/>
      <c r="H1539" t="s"/>
      <c r="I1539" t="s"/>
      <c r="J1539" t="n">
        <v>-0.743</v>
      </c>
      <c r="K1539" t="n">
        <v>0.261</v>
      </c>
      <c r="L1539" t="n">
        <v>0.694</v>
      </c>
      <c r="M1539" t="n">
        <v>0.045</v>
      </c>
    </row>
    <row r="1540" spans="1:13">
      <c r="A1540" s="1">
        <f>HYPERLINK("http://www.twitter.com/NathanBLawrence/status/992291557947490304", "992291557947490304")</f>
        <v/>
      </c>
      <c r="B1540" s="2" t="n">
        <v>43224.27450231482</v>
      </c>
      <c r="C1540" t="n">
        <v>0</v>
      </c>
      <c r="D1540" t="n">
        <v>618</v>
      </c>
      <c r="E1540" t="s">
        <v>1550</v>
      </c>
      <c r="F1540" t="s"/>
      <c r="G1540" t="s"/>
      <c r="H1540" t="s"/>
      <c r="I1540" t="s"/>
      <c r="J1540" t="n">
        <v>-0.8070000000000001</v>
      </c>
      <c r="K1540" t="n">
        <v>0.288</v>
      </c>
      <c r="L1540" t="n">
        <v>0.712</v>
      </c>
      <c r="M1540" t="n">
        <v>0</v>
      </c>
    </row>
    <row r="1541" spans="1:13">
      <c r="A1541" s="1">
        <f>HYPERLINK("http://www.twitter.com/NathanBLawrence/status/992290989858406402", "992290989858406402")</f>
        <v/>
      </c>
      <c r="B1541" s="2" t="n">
        <v>43224.27293981481</v>
      </c>
      <c r="C1541" t="n">
        <v>1</v>
      </c>
      <c r="D1541" t="n">
        <v>0</v>
      </c>
      <c r="E1541" t="s">
        <v>1551</v>
      </c>
      <c r="F1541" t="s"/>
      <c r="G1541" t="s"/>
      <c r="H1541" t="s"/>
      <c r="I1541" t="s"/>
      <c r="J1541" t="n">
        <v>-0.2547</v>
      </c>
      <c r="K1541" t="n">
        <v>0.167</v>
      </c>
      <c r="L1541" t="n">
        <v>0.715</v>
      </c>
      <c r="M1541" t="n">
        <v>0.118</v>
      </c>
    </row>
    <row r="1542" spans="1:13">
      <c r="A1542" s="1">
        <f>HYPERLINK("http://www.twitter.com/NathanBLawrence/status/992289195505807362", "992289195505807362")</f>
        <v/>
      </c>
      <c r="B1542" s="2" t="n">
        <v>43224.26798611111</v>
      </c>
      <c r="C1542" t="n">
        <v>0</v>
      </c>
      <c r="D1542" t="n">
        <v>900</v>
      </c>
      <c r="E1542" t="s">
        <v>1552</v>
      </c>
      <c r="F1542">
        <f>HYPERLINK("https://video.twimg.com/ext_tw_video/991883331657580544/pu/vid/320x180/0VQAAr9SmOI0NcQR.mp4?tag=3", "https://video.twimg.com/ext_tw_video/991883331657580544/pu/vid/320x180/0VQAAr9SmOI0NcQR.mp4?tag=3")</f>
        <v/>
      </c>
      <c r="G1542" t="s"/>
      <c r="H1542" t="s"/>
      <c r="I1542" t="s"/>
      <c r="J1542" t="n">
        <v>-0.4404</v>
      </c>
      <c r="K1542" t="n">
        <v>0.127</v>
      </c>
      <c r="L1542" t="n">
        <v>0.873</v>
      </c>
      <c r="M1542" t="n">
        <v>0</v>
      </c>
    </row>
    <row r="1543" spans="1:13">
      <c r="A1543" s="1">
        <f>HYPERLINK("http://www.twitter.com/NathanBLawrence/status/992289090337783809", "992289090337783809")</f>
        <v/>
      </c>
      <c r="B1543" s="2" t="n">
        <v>43224.26769675926</v>
      </c>
      <c r="C1543" t="n">
        <v>0</v>
      </c>
      <c r="D1543" t="n">
        <v>179</v>
      </c>
      <c r="E1543" t="s">
        <v>1553</v>
      </c>
      <c r="F1543">
        <f>HYPERLINK("http://pbs.twimg.com/media/DcUE5uQU8AEqmtJ.jpg", "http://pbs.twimg.com/media/DcUE5uQU8AEqmtJ.jpg")</f>
        <v/>
      </c>
      <c r="G1543" t="s"/>
      <c r="H1543" t="s"/>
      <c r="I1543" t="s"/>
      <c r="J1543" t="n">
        <v>-0.4404</v>
      </c>
      <c r="K1543" t="n">
        <v>0.153</v>
      </c>
      <c r="L1543" t="n">
        <v>0.847</v>
      </c>
      <c r="M1543" t="n">
        <v>0</v>
      </c>
    </row>
    <row r="1544" spans="1:13">
      <c r="A1544" s="1">
        <f>HYPERLINK("http://www.twitter.com/NathanBLawrence/status/992288841972133894", "992288841972133894")</f>
        <v/>
      </c>
      <c r="B1544" s="2" t="n">
        <v>43224.26701388889</v>
      </c>
      <c r="C1544" t="n">
        <v>0</v>
      </c>
      <c r="D1544" t="n">
        <v>0</v>
      </c>
      <c r="E1544" t="s">
        <v>1554</v>
      </c>
      <c r="F1544" t="s"/>
      <c r="G1544" t="s"/>
      <c r="H1544" t="s"/>
      <c r="I1544" t="s"/>
      <c r="J1544" t="n">
        <v>-0.2244</v>
      </c>
      <c r="K1544" t="n">
        <v>0.049</v>
      </c>
      <c r="L1544" t="n">
        <v>0.887</v>
      </c>
      <c r="M1544" t="n">
        <v>0.064</v>
      </c>
    </row>
    <row r="1545" spans="1:13">
      <c r="A1545" s="1">
        <f>HYPERLINK("http://www.twitter.com/NathanBLawrence/status/992287650521362434", "992287650521362434")</f>
        <v/>
      </c>
      <c r="B1545" s="2" t="n">
        <v>43224.26372685185</v>
      </c>
      <c r="C1545" t="n">
        <v>0</v>
      </c>
      <c r="D1545" t="n">
        <v>2388</v>
      </c>
      <c r="E1545" t="s">
        <v>1555</v>
      </c>
      <c r="F1545" t="s"/>
      <c r="G1545" t="s"/>
      <c r="H1545" t="s"/>
      <c r="I1545" t="s"/>
      <c r="J1545" t="n">
        <v>0</v>
      </c>
      <c r="K1545" t="n">
        <v>0</v>
      </c>
      <c r="L1545" t="n">
        <v>1</v>
      </c>
      <c r="M1545" t="n">
        <v>0</v>
      </c>
    </row>
    <row r="1546" spans="1:13">
      <c r="A1546" s="1">
        <f>HYPERLINK("http://www.twitter.com/NathanBLawrence/status/992287241526362112", "992287241526362112")</f>
        <v/>
      </c>
      <c r="B1546" s="2" t="n">
        <v>43224.26259259259</v>
      </c>
      <c r="C1546" t="n">
        <v>0</v>
      </c>
      <c r="D1546" t="n">
        <v>0</v>
      </c>
      <c r="E1546" t="s">
        <v>1556</v>
      </c>
      <c r="F1546">
        <f>HYPERLINK("http://pbs.twimg.com/media/DcVO054VMAALTpY.jpg", "http://pbs.twimg.com/media/DcVO054VMAALTpY.jpg")</f>
        <v/>
      </c>
      <c r="G1546">
        <f>HYPERLINK("http://pbs.twimg.com/media/DcVPM6KU0AEeM3j.jpg", "http://pbs.twimg.com/media/DcVPM6KU0AEeM3j.jpg")</f>
        <v/>
      </c>
      <c r="H1546" t="s"/>
      <c r="I1546" t="s"/>
      <c r="J1546" t="n">
        <v>0.3049</v>
      </c>
      <c r="K1546" t="n">
        <v>0.07000000000000001</v>
      </c>
      <c r="L1546" t="n">
        <v>0.8100000000000001</v>
      </c>
      <c r="M1546" t="n">
        <v>0.12</v>
      </c>
    </row>
    <row r="1547" spans="1:13">
      <c r="A1547" s="1">
        <f>HYPERLINK("http://www.twitter.com/NathanBLawrence/status/992283828382191617", "992283828382191617")</f>
        <v/>
      </c>
      <c r="B1547" s="2" t="n">
        <v>43224.25318287037</v>
      </c>
      <c r="C1547" t="n">
        <v>0</v>
      </c>
      <c r="D1547" t="n">
        <v>0</v>
      </c>
      <c r="E1547" t="s">
        <v>1557</v>
      </c>
      <c r="F1547" t="s"/>
      <c r="G1547" t="s"/>
      <c r="H1547" t="s"/>
      <c r="I1547" t="s"/>
      <c r="J1547" t="n">
        <v>0</v>
      </c>
      <c r="K1547" t="n">
        <v>0</v>
      </c>
      <c r="L1547" t="n">
        <v>1</v>
      </c>
      <c r="M1547" t="n">
        <v>0</v>
      </c>
    </row>
    <row r="1548" spans="1:13">
      <c r="A1548" s="1">
        <f>HYPERLINK("http://www.twitter.com/NathanBLawrence/status/992283647091789824", "992283647091789824")</f>
        <v/>
      </c>
      <c r="B1548" s="2" t="n">
        <v>43224.25267361111</v>
      </c>
      <c r="C1548" t="n">
        <v>1</v>
      </c>
      <c r="D1548" t="n">
        <v>0</v>
      </c>
      <c r="E1548" t="s">
        <v>1558</v>
      </c>
      <c r="F1548" t="s"/>
      <c r="G1548" t="s"/>
      <c r="H1548" t="s"/>
      <c r="I1548" t="s"/>
      <c r="J1548" t="n">
        <v>-0.5707</v>
      </c>
      <c r="K1548" t="n">
        <v>0.225</v>
      </c>
      <c r="L1548" t="n">
        <v>0.6909999999999999</v>
      </c>
      <c r="M1548" t="n">
        <v>0.08400000000000001</v>
      </c>
    </row>
    <row r="1549" spans="1:13">
      <c r="A1549" s="1">
        <f>HYPERLINK("http://www.twitter.com/NathanBLawrence/status/992282825129787397", "992282825129787397")</f>
        <v/>
      </c>
      <c r="B1549" s="2" t="n">
        <v>43224.25040509259</v>
      </c>
      <c r="C1549" t="n">
        <v>0</v>
      </c>
      <c r="D1549" t="n">
        <v>1662</v>
      </c>
      <c r="E1549" t="s">
        <v>1559</v>
      </c>
      <c r="F1549">
        <f>HYPERLINK("http://pbs.twimg.com/media/DcSh02bW4AAR4Ei.jpg", "http://pbs.twimg.com/media/DcSh02bW4AAR4Ei.jpg")</f>
        <v/>
      </c>
      <c r="G1549" t="s"/>
      <c r="H1549" t="s"/>
      <c r="I1549" t="s"/>
      <c r="J1549" t="n">
        <v>0</v>
      </c>
      <c r="K1549" t="n">
        <v>0</v>
      </c>
      <c r="L1549" t="n">
        <v>1</v>
      </c>
      <c r="M1549" t="n">
        <v>0</v>
      </c>
    </row>
    <row r="1550" spans="1:13">
      <c r="A1550" s="1">
        <f>HYPERLINK("http://www.twitter.com/NathanBLawrence/status/992282527585910784", "992282527585910784")</f>
        <v/>
      </c>
      <c r="B1550" s="2" t="n">
        <v>43224.24958333333</v>
      </c>
      <c r="C1550" t="n">
        <v>0</v>
      </c>
      <c r="D1550" t="n">
        <v>250</v>
      </c>
      <c r="E1550" t="s">
        <v>1560</v>
      </c>
      <c r="F1550">
        <f>HYPERLINK("http://pbs.twimg.com/media/DcSiYQ4VwAA6LrB.jpg", "http://pbs.twimg.com/media/DcSiYQ4VwAA6LrB.jpg")</f>
        <v/>
      </c>
      <c r="G1550">
        <f>HYPERLINK("http://pbs.twimg.com/media/DcSiYQ1VMAE4h0T.jpg", "http://pbs.twimg.com/media/DcSiYQ1VMAE4h0T.jpg")</f>
        <v/>
      </c>
      <c r="H1550" t="s"/>
      <c r="I1550" t="s"/>
      <c r="J1550" t="n">
        <v>0</v>
      </c>
      <c r="K1550" t="n">
        <v>0</v>
      </c>
      <c r="L1550" t="n">
        <v>1</v>
      </c>
      <c r="M1550" t="n">
        <v>0</v>
      </c>
    </row>
    <row r="1551" spans="1:13">
      <c r="A1551" s="1">
        <f>HYPERLINK("http://www.twitter.com/NathanBLawrence/status/992282460258881536", "992282460258881536")</f>
        <v/>
      </c>
      <c r="B1551" s="2" t="n">
        <v>43224.24939814815</v>
      </c>
      <c r="C1551" t="n">
        <v>0</v>
      </c>
      <c r="D1551" t="n">
        <v>0</v>
      </c>
      <c r="E1551" t="s">
        <v>1561</v>
      </c>
      <c r="F1551" t="s"/>
      <c r="G1551" t="s"/>
      <c r="H1551" t="s"/>
      <c r="I1551" t="s"/>
      <c r="J1551" t="n">
        <v>0</v>
      </c>
      <c r="K1551" t="n">
        <v>0</v>
      </c>
      <c r="L1551" t="n">
        <v>1</v>
      </c>
      <c r="M1551" t="n">
        <v>0</v>
      </c>
    </row>
    <row r="1552" spans="1:13">
      <c r="A1552" s="1">
        <f>HYPERLINK("http://www.twitter.com/NathanBLawrence/status/992281987024011265", "992281987024011265")</f>
        <v/>
      </c>
      <c r="B1552" s="2" t="n">
        <v>43224.24810185185</v>
      </c>
      <c r="C1552" t="n">
        <v>0</v>
      </c>
      <c r="D1552" t="n">
        <v>6005</v>
      </c>
      <c r="E1552" t="s">
        <v>1562</v>
      </c>
      <c r="F1552">
        <f>HYPERLINK("http://pbs.twimg.com/media/DcSiNlcUQAIMLSv.jpg", "http://pbs.twimg.com/media/DcSiNlcUQAIMLSv.jpg")</f>
        <v/>
      </c>
      <c r="G1552" t="s"/>
      <c r="H1552" t="s"/>
      <c r="I1552" t="s"/>
      <c r="J1552" t="n">
        <v>-0.8225</v>
      </c>
      <c r="K1552" t="n">
        <v>0.603</v>
      </c>
      <c r="L1552" t="n">
        <v>0.397</v>
      </c>
      <c r="M1552" t="n">
        <v>0</v>
      </c>
    </row>
    <row r="1553" spans="1:13">
      <c r="A1553" s="1">
        <f>HYPERLINK("http://www.twitter.com/NathanBLawrence/status/992281881142947842", "992281881142947842")</f>
        <v/>
      </c>
      <c r="B1553" s="2" t="n">
        <v>43224.24780092593</v>
      </c>
      <c r="C1553" t="n">
        <v>0</v>
      </c>
      <c r="D1553" t="n">
        <v>66</v>
      </c>
      <c r="E1553" t="s">
        <v>1563</v>
      </c>
      <c r="F1553">
        <f>HYPERLINK("http://pbs.twimg.com/media/DcSjoe8VQAAKBQA.jpg", "http://pbs.twimg.com/media/DcSjoe8VQAAKBQA.jpg")</f>
        <v/>
      </c>
      <c r="G1553" t="s"/>
      <c r="H1553" t="s"/>
      <c r="I1553" t="s"/>
      <c r="J1553" t="n">
        <v>-0.7579</v>
      </c>
      <c r="K1553" t="n">
        <v>0.317</v>
      </c>
      <c r="L1553" t="n">
        <v>0.6830000000000001</v>
      </c>
      <c r="M1553" t="n">
        <v>0</v>
      </c>
    </row>
    <row r="1554" spans="1:13">
      <c r="A1554" s="1">
        <f>HYPERLINK("http://www.twitter.com/NathanBLawrence/status/992281782950100994", "992281782950100994")</f>
        <v/>
      </c>
      <c r="B1554" s="2" t="n">
        <v>43224.24753472222</v>
      </c>
      <c r="C1554" t="n">
        <v>0</v>
      </c>
      <c r="D1554" t="n">
        <v>222</v>
      </c>
      <c r="E1554" t="s">
        <v>1564</v>
      </c>
      <c r="F1554">
        <f>HYPERLINK("http://pbs.twimg.com/media/DcSl0bvWsAAqrOD.jpg", "http://pbs.twimg.com/media/DcSl0bvWsAAqrOD.jpg")</f>
        <v/>
      </c>
      <c r="G1554" t="s"/>
      <c r="H1554" t="s"/>
      <c r="I1554" t="s"/>
      <c r="J1554" t="n">
        <v>-0.0789</v>
      </c>
      <c r="K1554" t="n">
        <v>0.251</v>
      </c>
      <c r="L1554" t="n">
        <v>0.52</v>
      </c>
      <c r="M1554" t="n">
        <v>0.229</v>
      </c>
    </row>
    <row r="1555" spans="1:13">
      <c r="A1555" s="1">
        <f>HYPERLINK("http://www.twitter.com/NathanBLawrence/status/992281623574990848", "992281623574990848")</f>
        <v/>
      </c>
      <c r="B1555" s="2" t="n">
        <v>43224.2470949074</v>
      </c>
      <c r="C1555" t="n">
        <v>0</v>
      </c>
      <c r="D1555" t="n">
        <v>227</v>
      </c>
      <c r="E1555" t="s">
        <v>1565</v>
      </c>
      <c r="F1555" t="s"/>
      <c r="G1555" t="s"/>
      <c r="H1555" t="s"/>
      <c r="I1555" t="s"/>
      <c r="J1555" t="n">
        <v>0.4215</v>
      </c>
      <c r="K1555" t="n">
        <v>0</v>
      </c>
      <c r="L1555" t="n">
        <v>0.865</v>
      </c>
      <c r="M1555" t="n">
        <v>0.135</v>
      </c>
    </row>
    <row r="1556" spans="1:13">
      <c r="A1556" s="1">
        <f>HYPERLINK("http://www.twitter.com/NathanBLawrence/status/992281574946193412", "992281574946193412")</f>
        <v/>
      </c>
      <c r="B1556" s="2" t="n">
        <v>43224.24695601852</v>
      </c>
      <c r="C1556" t="n">
        <v>0</v>
      </c>
      <c r="D1556" t="n">
        <v>541</v>
      </c>
      <c r="E1556" t="s">
        <v>1566</v>
      </c>
      <c r="F1556" t="s"/>
      <c r="G1556" t="s"/>
      <c r="H1556" t="s"/>
      <c r="I1556" t="s"/>
      <c r="J1556" t="n">
        <v>0.5574</v>
      </c>
      <c r="K1556" t="n">
        <v>0</v>
      </c>
      <c r="L1556" t="n">
        <v>0.833</v>
      </c>
      <c r="M1556" t="n">
        <v>0.167</v>
      </c>
    </row>
    <row r="1557" spans="1:13">
      <c r="A1557" s="1">
        <f>HYPERLINK("http://www.twitter.com/NathanBLawrence/status/992281431555506176", "992281431555506176")</f>
        <v/>
      </c>
      <c r="B1557" s="2" t="n">
        <v>43224.2465625</v>
      </c>
      <c r="C1557" t="n">
        <v>0</v>
      </c>
      <c r="D1557" t="n">
        <v>835</v>
      </c>
      <c r="E1557" t="s">
        <v>1567</v>
      </c>
      <c r="F1557">
        <f>HYPERLINK("http://pbs.twimg.com/media/DcSEpBVWkAE5Mb0.jpg", "http://pbs.twimg.com/media/DcSEpBVWkAE5Mb0.jpg")</f>
        <v/>
      </c>
      <c r="G1557" t="s"/>
      <c r="H1557" t="s"/>
      <c r="I1557" t="s"/>
      <c r="J1557" t="n">
        <v>0.3164</v>
      </c>
      <c r="K1557" t="n">
        <v>0.119</v>
      </c>
      <c r="L1557" t="n">
        <v>0.6830000000000001</v>
      </c>
      <c r="M1557" t="n">
        <v>0.198</v>
      </c>
    </row>
    <row r="1558" spans="1:13">
      <c r="A1558" s="1">
        <f>HYPERLINK("http://www.twitter.com/NathanBLawrence/status/992281301255315456", "992281301255315456")</f>
        <v/>
      </c>
      <c r="B1558" s="2" t="n">
        <v>43224.2462037037</v>
      </c>
      <c r="C1558" t="n">
        <v>0</v>
      </c>
      <c r="D1558" t="n">
        <v>685</v>
      </c>
      <c r="E1558" t="s">
        <v>1568</v>
      </c>
      <c r="F1558" t="s"/>
      <c r="G1558" t="s"/>
      <c r="H1558" t="s"/>
      <c r="I1558" t="s"/>
      <c r="J1558" t="n">
        <v>-0.6808</v>
      </c>
      <c r="K1558" t="n">
        <v>0.211</v>
      </c>
      <c r="L1558" t="n">
        <v>0.789</v>
      </c>
      <c r="M1558" t="n">
        <v>0</v>
      </c>
    </row>
    <row r="1559" spans="1:13">
      <c r="A1559" s="1">
        <f>HYPERLINK("http://www.twitter.com/NathanBLawrence/status/992281181629530113", "992281181629530113")</f>
        <v/>
      </c>
      <c r="B1559" s="2" t="n">
        <v>43224.24587962963</v>
      </c>
      <c r="C1559" t="n">
        <v>0</v>
      </c>
      <c r="D1559" t="n">
        <v>5</v>
      </c>
      <c r="E1559" t="s">
        <v>1569</v>
      </c>
      <c r="F1559" t="s"/>
      <c r="G1559" t="s"/>
      <c r="H1559" t="s"/>
      <c r="I1559" t="s"/>
      <c r="J1559" t="n">
        <v>0.4753</v>
      </c>
      <c r="K1559" t="n">
        <v>0</v>
      </c>
      <c r="L1559" t="n">
        <v>0.86</v>
      </c>
      <c r="M1559" t="n">
        <v>0.14</v>
      </c>
    </row>
    <row r="1560" spans="1:13">
      <c r="A1560" s="1">
        <f>HYPERLINK("http://www.twitter.com/NathanBLawrence/status/992280731576549379", "992280731576549379")</f>
        <v/>
      </c>
      <c r="B1560" s="2" t="n">
        <v>43224.24462962963</v>
      </c>
      <c r="C1560" t="n">
        <v>0</v>
      </c>
      <c r="D1560" t="n">
        <v>9</v>
      </c>
      <c r="E1560" t="s">
        <v>1570</v>
      </c>
      <c r="F1560" t="s"/>
      <c r="G1560" t="s"/>
      <c r="H1560" t="s"/>
      <c r="I1560" t="s"/>
      <c r="J1560" t="n">
        <v>-0.5423</v>
      </c>
      <c r="K1560" t="n">
        <v>0.137</v>
      </c>
      <c r="L1560" t="n">
        <v>0.863</v>
      </c>
      <c r="M1560" t="n">
        <v>0</v>
      </c>
    </row>
    <row r="1561" spans="1:13">
      <c r="A1561" s="1">
        <f>HYPERLINK("http://www.twitter.com/NathanBLawrence/status/992280225965723648", "992280225965723648")</f>
        <v/>
      </c>
      <c r="B1561" s="2" t="n">
        <v>43224.24324074074</v>
      </c>
      <c r="C1561" t="n">
        <v>0</v>
      </c>
      <c r="D1561" t="n">
        <v>0</v>
      </c>
      <c r="E1561" t="s">
        <v>1571</v>
      </c>
      <c r="F1561" t="s"/>
      <c r="G1561" t="s"/>
      <c r="H1561" t="s"/>
      <c r="I1561" t="s"/>
      <c r="J1561" t="n">
        <v>0.8804999999999999</v>
      </c>
      <c r="K1561" t="n">
        <v>0</v>
      </c>
      <c r="L1561" t="n">
        <v>0.775</v>
      </c>
      <c r="M1561" t="n">
        <v>0.225</v>
      </c>
    </row>
    <row r="1562" spans="1:13">
      <c r="A1562" s="1">
        <f>HYPERLINK("http://www.twitter.com/NathanBLawrence/status/992276892228042754", "992276892228042754")</f>
        <v/>
      </c>
      <c r="B1562" s="2" t="n">
        <v>43224.23403935185</v>
      </c>
      <c r="C1562" t="n">
        <v>0</v>
      </c>
      <c r="D1562" t="n">
        <v>1792</v>
      </c>
      <c r="E1562" t="s">
        <v>1572</v>
      </c>
      <c r="F1562" t="s"/>
      <c r="G1562" t="s"/>
      <c r="H1562" t="s"/>
      <c r="I1562" t="s"/>
      <c r="J1562" t="n">
        <v>-0.5423</v>
      </c>
      <c r="K1562" t="n">
        <v>0.231</v>
      </c>
      <c r="L1562" t="n">
        <v>0.769</v>
      </c>
      <c r="M1562" t="n">
        <v>0</v>
      </c>
    </row>
    <row r="1563" spans="1:13">
      <c r="A1563" s="1">
        <f>HYPERLINK("http://www.twitter.com/NathanBLawrence/status/992276678868062209", "992276678868062209")</f>
        <v/>
      </c>
      <c r="B1563" s="2" t="n">
        <v>43224.23344907408</v>
      </c>
      <c r="C1563" t="n">
        <v>0</v>
      </c>
      <c r="D1563" t="n">
        <v>3</v>
      </c>
      <c r="E1563" t="s">
        <v>1573</v>
      </c>
      <c r="F1563" t="s"/>
      <c r="G1563" t="s"/>
      <c r="H1563" t="s"/>
      <c r="I1563" t="s"/>
      <c r="J1563" t="n">
        <v>-0.008500000000000001</v>
      </c>
      <c r="K1563" t="n">
        <v>0.116</v>
      </c>
      <c r="L1563" t="n">
        <v>0.768</v>
      </c>
      <c r="M1563" t="n">
        <v>0.115</v>
      </c>
    </row>
    <row r="1564" spans="1:13">
      <c r="A1564" s="1">
        <f>HYPERLINK("http://www.twitter.com/NathanBLawrence/status/992276571183505410", "992276571183505410")</f>
        <v/>
      </c>
      <c r="B1564" s="2" t="n">
        <v>43224.23314814815</v>
      </c>
      <c r="C1564" t="n">
        <v>0</v>
      </c>
      <c r="D1564" t="n">
        <v>10</v>
      </c>
      <c r="E1564" t="s">
        <v>1574</v>
      </c>
      <c r="F1564">
        <f>HYPERLINK("http://pbs.twimg.com/media/DcS1hh5VQAAPLoc.jpg", "http://pbs.twimg.com/media/DcS1hh5VQAAPLoc.jpg")</f>
        <v/>
      </c>
      <c r="G1564" t="s"/>
      <c r="H1564" t="s"/>
      <c r="I1564" t="s"/>
      <c r="J1564" t="n">
        <v>0</v>
      </c>
      <c r="K1564" t="n">
        <v>0</v>
      </c>
      <c r="L1564" t="n">
        <v>1</v>
      </c>
      <c r="M1564" t="n">
        <v>0</v>
      </c>
    </row>
    <row r="1565" spans="1:13">
      <c r="A1565" s="1">
        <f>HYPERLINK("http://www.twitter.com/NathanBLawrence/status/992276377159196672", "992276377159196672")</f>
        <v/>
      </c>
      <c r="B1565" s="2" t="n">
        <v>43224.23261574074</v>
      </c>
      <c r="C1565" t="n">
        <v>0</v>
      </c>
      <c r="D1565" t="n">
        <v>3421</v>
      </c>
      <c r="E1565" t="s">
        <v>1575</v>
      </c>
      <c r="F1565">
        <f>HYPERLINK("http://pbs.twimg.com/media/DcTAEqVU0AAXCNg.jpg", "http://pbs.twimg.com/media/DcTAEqVU0AAXCNg.jpg")</f>
        <v/>
      </c>
      <c r="G1565" t="s"/>
      <c r="H1565" t="s"/>
      <c r="I1565" t="s"/>
      <c r="J1565" t="n">
        <v>0.8779</v>
      </c>
      <c r="K1565" t="n">
        <v>0</v>
      </c>
      <c r="L1565" t="n">
        <v>0.675</v>
      </c>
      <c r="M1565" t="n">
        <v>0.325</v>
      </c>
    </row>
    <row r="1566" spans="1:13">
      <c r="A1566" s="1">
        <f>HYPERLINK("http://www.twitter.com/NathanBLawrence/status/992184387260203008", "992184387260203008")</f>
        <v/>
      </c>
      <c r="B1566" s="2" t="n">
        <v>43223.97877314815</v>
      </c>
      <c r="C1566" t="n">
        <v>0</v>
      </c>
      <c r="D1566" t="n">
        <v>43</v>
      </c>
      <c r="E1566" t="s">
        <v>1576</v>
      </c>
      <c r="F1566" t="s"/>
      <c r="G1566" t="s"/>
      <c r="H1566" t="s"/>
      <c r="I1566" t="s"/>
      <c r="J1566" t="n">
        <v>0.7579</v>
      </c>
      <c r="K1566" t="n">
        <v>0</v>
      </c>
      <c r="L1566" t="n">
        <v>0.698</v>
      </c>
      <c r="M1566" t="n">
        <v>0.302</v>
      </c>
    </row>
    <row r="1567" spans="1:13">
      <c r="A1567" s="1">
        <f>HYPERLINK("http://www.twitter.com/NathanBLawrence/status/992175087045373952", "992175087045373952")</f>
        <v/>
      </c>
      <c r="B1567" s="2" t="n">
        <v>43223.95311342592</v>
      </c>
      <c r="C1567" t="n">
        <v>0</v>
      </c>
      <c r="D1567" t="n">
        <v>434</v>
      </c>
      <c r="E1567" t="s">
        <v>1577</v>
      </c>
      <c r="F1567">
        <f>HYPERLINK("http://pbs.twimg.com/media/DMyXfW-XcAA81Wf.jpg", "http://pbs.twimg.com/media/DMyXfW-XcAA81Wf.jpg")</f>
        <v/>
      </c>
      <c r="G1567">
        <f>HYPERLINK("http://pbs.twimg.com/media/DMyXgkyX4AEFLQ5.jpg", "http://pbs.twimg.com/media/DMyXgkyX4AEFLQ5.jpg")</f>
        <v/>
      </c>
      <c r="H1567">
        <f>HYPERLINK("http://pbs.twimg.com/media/DMyXiIRXUAAj5SU.jpg", "http://pbs.twimg.com/media/DMyXiIRXUAAj5SU.jpg")</f>
        <v/>
      </c>
      <c r="I1567">
        <f>HYPERLINK("http://pbs.twimg.com/media/DMyXjnkWsAEdcZT.jpg", "http://pbs.twimg.com/media/DMyXjnkWsAEdcZT.jpg")</f>
        <v/>
      </c>
      <c r="J1567" t="n">
        <v>0</v>
      </c>
      <c r="K1567" t="n">
        <v>0</v>
      </c>
      <c r="L1567" t="n">
        <v>1</v>
      </c>
      <c r="M1567" t="n">
        <v>0</v>
      </c>
    </row>
    <row r="1568" spans="1:13">
      <c r="A1568" s="1">
        <f>HYPERLINK("http://www.twitter.com/NathanBLawrence/status/992173099339530240", "992173099339530240")</f>
        <v/>
      </c>
      <c r="B1568" s="2" t="n">
        <v>43223.94762731482</v>
      </c>
      <c r="C1568" t="n">
        <v>0</v>
      </c>
      <c r="D1568" t="n">
        <v>17657</v>
      </c>
      <c r="E1568" t="s">
        <v>1578</v>
      </c>
      <c r="F1568" t="s"/>
      <c r="G1568" t="s"/>
      <c r="H1568" t="s"/>
      <c r="I1568" t="s"/>
      <c r="J1568" t="n">
        <v>0.3397</v>
      </c>
      <c r="K1568" t="n">
        <v>0.134</v>
      </c>
      <c r="L1568" t="n">
        <v>0.654</v>
      </c>
      <c r="M1568" t="n">
        <v>0.212</v>
      </c>
    </row>
    <row r="1569" spans="1:13">
      <c r="A1569" s="1">
        <f>HYPERLINK("http://www.twitter.com/NathanBLawrence/status/992155452216508416", "992155452216508416")</f>
        <v/>
      </c>
      <c r="B1569" s="2" t="n">
        <v>43223.89892361111</v>
      </c>
      <c r="C1569" t="n">
        <v>0</v>
      </c>
      <c r="D1569" t="n">
        <v>0</v>
      </c>
      <c r="E1569" t="s">
        <v>1579</v>
      </c>
      <c r="F1569">
        <f>HYPERLINK("http://pbs.twimg.com/media/DcTXmehVMAAhnhK.jpg", "http://pbs.twimg.com/media/DcTXmehVMAAhnhK.jpg")</f>
        <v/>
      </c>
      <c r="G1569">
        <f>HYPERLINK("http://pbs.twimg.com/media/DcTXpT-UQAANvwh.jpg", "http://pbs.twimg.com/media/DcTXpT-UQAANvwh.jpg")</f>
        <v/>
      </c>
      <c r="H1569" t="s"/>
      <c r="I1569" t="s"/>
      <c r="J1569" t="n">
        <v>0.6124000000000001</v>
      </c>
      <c r="K1569" t="n">
        <v>0</v>
      </c>
      <c r="L1569" t="n">
        <v>0.8</v>
      </c>
      <c r="M1569" t="n">
        <v>0.2</v>
      </c>
    </row>
    <row r="1570" spans="1:13">
      <c r="A1570" s="1">
        <f>HYPERLINK("http://www.twitter.com/NathanBLawrence/status/992154432698699776", "992154432698699776")</f>
        <v/>
      </c>
      <c r="B1570" s="2" t="n">
        <v>43223.89611111111</v>
      </c>
      <c r="C1570" t="n">
        <v>0</v>
      </c>
      <c r="D1570" t="n">
        <v>10</v>
      </c>
      <c r="E1570" t="s">
        <v>1580</v>
      </c>
      <c r="F1570" t="s"/>
      <c r="G1570" t="s"/>
      <c r="H1570" t="s"/>
      <c r="I1570" t="s"/>
      <c r="J1570" t="n">
        <v>0.3885</v>
      </c>
      <c r="K1570" t="n">
        <v>0</v>
      </c>
      <c r="L1570" t="n">
        <v>0.82</v>
      </c>
      <c r="M1570" t="n">
        <v>0.18</v>
      </c>
    </row>
    <row r="1571" spans="1:13">
      <c r="A1571" s="1">
        <f>HYPERLINK("http://www.twitter.com/NathanBLawrence/status/992154345985556480", "992154345985556480")</f>
        <v/>
      </c>
      <c r="B1571" s="2" t="n">
        <v>43223.89587962963</v>
      </c>
      <c r="C1571" t="n">
        <v>0</v>
      </c>
      <c r="D1571" t="n">
        <v>29</v>
      </c>
      <c r="E1571" t="s">
        <v>1581</v>
      </c>
      <c r="F1571">
        <f>HYPERLINK("http://pbs.twimg.com/media/DcR84lXWkAIhRJa.jpg", "http://pbs.twimg.com/media/DcR84lXWkAIhRJa.jpg")</f>
        <v/>
      </c>
      <c r="G1571" t="s"/>
      <c r="H1571" t="s"/>
      <c r="I1571" t="s"/>
      <c r="J1571" t="n">
        <v>0.5319</v>
      </c>
      <c r="K1571" t="n">
        <v>0</v>
      </c>
      <c r="L1571" t="n">
        <v>0.84</v>
      </c>
      <c r="M1571" t="n">
        <v>0.16</v>
      </c>
    </row>
    <row r="1572" spans="1:13">
      <c r="A1572" s="1">
        <f>HYPERLINK("http://www.twitter.com/NathanBLawrence/status/992154274166591488", "992154274166591488")</f>
        <v/>
      </c>
      <c r="B1572" s="2" t="n">
        <v>43223.8956712963</v>
      </c>
      <c r="C1572" t="n">
        <v>0</v>
      </c>
      <c r="D1572" t="n">
        <v>22</v>
      </c>
      <c r="E1572" t="s">
        <v>1582</v>
      </c>
      <c r="F1572" t="s"/>
      <c r="G1572" t="s"/>
      <c r="H1572" t="s"/>
      <c r="I1572" t="s"/>
      <c r="J1572" t="n">
        <v>0.0258</v>
      </c>
      <c r="K1572" t="n">
        <v>0</v>
      </c>
      <c r="L1572" t="n">
        <v>0.954</v>
      </c>
      <c r="M1572" t="n">
        <v>0.046</v>
      </c>
    </row>
    <row r="1573" spans="1:13">
      <c r="A1573" s="1">
        <f>HYPERLINK("http://www.twitter.com/NathanBLawrence/status/992153991185186816", "992153991185186816")</f>
        <v/>
      </c>
      <c r="B1573" s="2" t="n">
        <v>43223.89489583333</v>
      </c>
      <c r="C1573" t="n">
        <v>0</v>
      </c>
      <c r="D1573" t="n">
        <v>5</v>
      </c>
      <c r="E1573" t="s">
        <v>1583</v>
      </c>
      <c r="F1573">
        <f>HYPERLINK("http://pbs.twimg.com/media/DcSkkHqXcAALqLO.jpg", "http://pbs.twimg.com/media/DcSkkHqXcAALqLO.jpg")</f>
        <v/>
      </c>
      <c r="G1573" t="s"/>
      <c r="H1573" t="s"/>
      <c r="I1573" t="s"/>
      <c r="J1573" t="n">
        <v>-0.4539</v>
      </c>
      <c r="K1573" t="n">
        <v>0.135</v>
      </c>
      <c r="L1573" t="n">
        <v>0.865</v>
      </c>
      <c r="M1573" t="n">
        <v>0</v>
      </c>
    </row>
    <row r="1574" spans="1:13">
      <c r="A1574" s="1">
        <f>HYPERLINK("http://www.twitter.com/NathanBLawrence/status/992153468914753536", "992153468914753536")</f>
        <v/>
      </c>
      <c r="B1574" s="2" t="n">
        <v>43223.89344907407</v>
      </c>
      <c r="C1574" t="n">
        <v>0</v>
      </c>
      <c r="D1574" t="n">
        <v>4</v>
      </c>
      <c r="E1574" t="s">
        <v>1584</v>
      </c>
      <c r="F1574" t="s"/>
      <c r="G1574" t="s"/>
      <c r="H1574" t="s"/>
      <c r="I1574" t="s"/>
      <c r="J1574" t="n">
        <v>0</v>
      </c>
      <c r="K1574" t="n">
        <v>0</v>
      </c>
      <c r="L1574" t="n">
        <v>1</v>
      </c>
      <c r="M1574" t="n">
        <v>0</v>
      </c>
    </row>
    <row r="1575" spans="1:13">
      <c r="A1575" s="1">
        <f>HYPERLINK("http://www.twitter.com/NathanBLawrence/status/992152257394180096", "992152257394180096")</f>
        <v/>
      </c>
      <c r="B1575" s="2" t="n">
        <v>43223.89011574074</v>
      </c>
      <c r="C1575" t="n">
        <v>0</v>
      </c>
      <c r="D1575" t="n">
        <v>1</v>
      </c>
      <c r="E1575" t="s">
        <v>1585</v>
      </c>
      <c r="F1575" t="s"/>
      <c r="G1575" t="s"/>
      <c r="H1575" t="s"/>
      <c r="I1575" t="s"/>
      <c r="J1575" t="n">
        <v>0.0772</v>
      </c>
      <c r="K1575" t="n">
        <v>0.102</v>
      </c>
      <c r="L1575" t="n">
        <v>0.754</v>
      </c>
      <c r="M1575" t="n">
        <v>0.144</v>
      </c>
    </row>
    <row r="1576" spans="1:13">
      <c r="A1576" s="1">
        <f>HYPERLINK("http://www.twitter.com/NathanBLawrence/status/992149972245139456", "992149972245139456")</f>
        <v/>
      </c>
      <c r="B1576" s="2" t="n">
        <v>43223.88380787037</v>
      </c>
      <c r="C1576" t="n">
        <v>2</v>
      </c>
      <c r="D1576" t="n">
        <v>2</v>
      </c>
      <c r="E1576" t="s">
        <v>1586</v>
      </c>
      <c r="F1576" t="s"/>
      <c r="G1576" t="s"/>
      <c r="H1576" t="s"/>
      <c r="I1576" t="s"/>
      <c r="J1576" t="n">
        <v>-0.9081</v>
      </c>
      <c r="K1576" t="n">
        <v>0.302</v>
      </c>
      <c r="L1576" t="n">
        <v>0.637</v>
      </c>
      <c r="M1576" t="n">
        <v>0.06</v>
      </c>
    </row>
    <row r="1577" spans="1:13">
      <c r="A1577" s="1">
        <f>HYPERLINK("http://www.twitter.com/NathanBLawrence/status/992147596276723712", "992147596276723712")</f>
        <v/>
      </c>
      <c r="B1577" s="2" t="n">
        <v>43223.87724537037</v>
      </c>
      <c r="C1577" t="n">
        <v>0</v>
      </c>
      <c r="D1577" t="n">
        <v>0</v>
      </c>
      <c r="E1577" t="s">
        <v>1587</v>
      </c>
      <c r="F1577" t="s"/>
      <c r="G1577" t="s"/>
      <c r="H1577" t="s"/>
      <c r="I1577" t="s"/>
      <c r="J1577" t="n">
        <v>-0.904</v>
      </c>
      <c r="K1577" t="n">
        <v>0.309</v>
      </c>
      <c r="L1577" t="n">
        <v>0.6909999999999999</v>
      </c>
      <c r="M1577" t="n">
        <v>0</v>
      </c>
    </row>
    <row r="1578" spans="1:13">
      <c r="A1578" s="1">
        <f>HYPERLINK("http://www.twitter.com/NathanBLawrence/status/992118664986963968", "992118664986963968")</f>
        <v/>
      </c>
      <c r="B1578" s="2" t="n">
        <v>43223.79741898148</v>
      </c>
      <c r="C1578" t="n">
        <v>0</v>
      </c>
      <c r="D1578" t="n">
        <v>0</v>
      </c>
      <c r="E1578" t="s">
        <v>1588</v>
      </c>
      <c r="F1578" t="s"/>
      <c r="G1578" t="s"/>
      <c r="H1578" t="s"/>
      <c r="I1578" t="s"/>
      <c r="J1578" t="n">
        <v>-0.2577</v>
      </c>
      <c r="K1578" t="n">
        <v>0.094</v>
      </c>
      <c r="L1578" t="n">
        <v>0.842</v>
      </c>
      <c r="M1578" t="n">
        <v>0.065</v>
      </c>
    </row>
    <row r="1579" spans="1:13">
      <c r="A1579" s="1">
        <f>HYPERLINK("http://www.twitter.com/NathanBLawrence/status/992117120447143936", "992117120447143936")</f>
        <v/>
      </c>
      <c r="B1579" s="2" t="n">
        <v>43223.79314814815</v>
      </c>
      <c r="C1579" t="n">
        <v>2</v>
      </c>
      <c r="D1579" t="n">
        <v>1</v>
      </c>
      <c r="E1579" t="s">
        <v>1589</v>
      </c>
      <c r="F1579" t="s"/>
      <c r="G1579" t="s"/>
      <c r="H1579" t="s"/>
      <c r="I1579" t="s"/>
      <c r="J1579" t="n">
        <v>-0.4466</v>
      </c>
      <c r="K1579" t="n">
        <v>0.144</v>
      </c>
      <c r="L1579" t="n">
        <v>0.729</v>
      </c>
      <c r="M1579" t="n">
        <v>0.127</v>
      </c>
    </row>
    <row r="1580" spans="1:13">
      <c r="A1580" s="1">
        <f>HYPERLINK("http://www.twitter.com/NathanBLawrence/status/992113227034116096", "992113227034116096")</f>
        <v/>
      </c>
      <c r="B1580" s="2" t="n">
        <v>43223.78240740741</v>
      </c>
      <c r="C1580" t="n">
        <v>0</v>
      </c>
      <c r="D1580" t="n">
        <v>0</v>
      </c>
      <c r="E1580" t="s">
        <v>1590</v>
      </c>
      <c r="F1580">
        <f>HYPERLINK("http://pbs.twimg.com/media/DcSxKBKU0AAtouI.jpg", "http://pbs.twimg.com/media/DcSxKBKU0AAtouI.jpg")</f>
        <v/>
      </c>
      <c r="G1580" t="s"/>
      <c r="H1580" t="s"/>
      <c r="I1580" t="s"/>
      <c r="J1580" t="n">
        <v>0.5023</v>
      </c>
      <c r="K1580" t="n">
        <v>0.061</v>
      </c>
      <c r="L1580" t="n">
        <v>0.8100000000000001</v>
      </c>
      <c r="M1580" t="n">
        <v>0.129</v>
      </c>
    </row>
    <row r="1581" spans="1:13">
      <c r="A1581" s="1">
        <f>HYPERLINK("http://www.twitter.com/NathanBLawrence/status/992109887193690112", "992109887193690112")</f>
        <v/>
      </c>
      <c r="B1581" s="2" t="n">
        <v>43223.77319444445</v>
      </c>
      <c r="C1581" t="n">
        <v>0</v>
      </c>
      <c r="D1581" t="n">
        <v>863</v>
      </c>
      <c r="E1581" t="s">
        <v>1591</v>
      </c>
      <c r="F1581" t="s"/>
      <c r="G1581" t="s"/>
      <c r="H1581" t="s"/>
      <c r="I1581" t="s"/>
      <c r="J1581" t="n">
        <v>-0.5093</v>
      </c>
      <c r="K1581" t="n">
        <v>0.13</v>
      </c>
      <c r="L1581" t="n">
        <v>0.87</v>
      </c>
      <c r="M1581" t="n">
        <v>0</v>
      </c>
    </row>
    <row r="1582" spans="1:13">
      <c r="A1582" s="1">
        <f>HYPERLINK("http://www.twitter.com/NathanBLawrence/status/992109703491563525", "992109703491563525")</f>
        <v/>
      </c>
      <c r="B1582" s="2" t="n">
        <v>43223.77268518518</v>
      </c>
      <c r="C1582" t="n">
        <v>0</v>
      </c>
      <c r="D1582" t="n">
        <v>10</v>
      </c>
      <c r="E1582" t="s">
        <v>1592</v>
      </c>
      <c r="F1582">
        <f>HYPERLINK("http://pbs.twimg.com/media/DcSalnKU8AAc1Ks.jpg", "http://pbs.twimg.com/media/DcSalnKU8AAc1Ks.jpg")</f>
        <v/>
      </c>
      <c r="G1582" t="s"/>
      <c r="H1582" t="s"/>
      <c r="I1582" t="s"/>
      <c r="J1582" t="n">
        <v>0</v>
      </c>
      <c r="K1582" t="n">
        <v>0</v>
      </c>
      <c r="L1582" t="n">
        <v>1</v>
      </c>
      <c r="M1582" t="n">
        <v>0</v>
      </c>
    </row>
    <row r="1583" spans="1:13">
      <c r="A1583" s="1">
        <f>HYPERLINK("http://www.twitter.com/NathanBLawrence/status/992109606057885696", "992109606057885696")</f>
        <v/>
      </c>
      <c r="B1583" s="2" t="n">
        <v>43223.77241898148</v>
      </c>
      <c r="C1583" t="n">
        <v>0</v>
      </c>
      <c r="D1583" t="n">
        <v>7</v>
      </c>
      <c r="E1583" t="s">
        <v>1593</v>
      </c>
      <c r="F1583">
        <f>HYPERLINK("http://pbs.twimg.com/media/DcSevlVXUAAjNJ4.jpg", "http://pbs.twimg.com/media/DcSevlVXUAAjNJ4.jpg")</f>
        <v/>
      </c>
      <c r="G1583" t="s"/>
      <c r="H1583" t="s"/>
      <c r="I1583" t="s"/>
      <c r="J1583" t="n">
        <v>0</v>
      </c>
      <c r="K1583" t="n">
        <v>0</v>
      </c>
      <c r="L1583" t="n">
        <v>1</v>
      </c>
      <c r="M1583" t="n">
        <v>0</v>
      </c>
    </row>
    <row r="1584" spans="1:13">
      <c r="A1584" s="1">
        <f>HYPERLINK("http://www.twitter.com/NathanBLawrence/status/992109518220705793", "992109518220705793")</f>
        <v/>
      </c>
      <c r="B1584" s="2" t="n">
        <v>43223.77217592593</v>
      </c>
      <c r="C1584" t="n">
        <v>0</v>
      </c>
      <c r="D1584" t="n">
        <v>51</v>
      </c>
      <c r="E1584" t="s">
        <v>1594</v>
      </c>
      <c r="F1584">
        <f>HYPERLINK("http://pbs.twimg.com/media/DcSZGm0XcAEb1VJ.jpg", "http://pbs.twimg.com/media/DcSZGm0XcAEb1VJ.jpg")</f>
        <v/>
      </c>
      <c r="G1584" t="s"/>
      <c r="H1584" t="s"/>
      <c r="I1584" t="s"/>
      <c r="J1584" t="n">
        <v>0</v>
      </c>
      <c r="K1584" t="n">
        <v>0</v>
      </c>
      <c r="L1584" t="n">
        <v>1</v>
      </c>
      <c r="M1584" t="n">
        <v>0</v>
      </c>
    </row>
    <row r="1585" spans="1:13">
      <c r="A1585" s="1">
        <f>HYPERLINK("http://www.twitter.com/NathanBLawrence/status/992107972045164545", "992107972045164545")</f>
        <v/>
      </c>
      <c r="B1585" s="2" t="n">
        <v>43223.76790509259</v>
      </c>
      <c r="C1585" t="n">
        <v>0</v>
      </c>
      <c r="D1585" t="n">
        <v>663</v>
      </c>
      <c r="E1585" t="s">
        <v>1595</v>
      </c>
      <c r="F1585">
        <f>HYPERLINK("https://video.twimg.com/amplify_video/990579181959499777/vid/1280x720/nlU30rJOP7VBrj3E.mp4?tag=2", "https://video.twimg.com/amplify_video/990579181959499777/vid/1280x720/nlU30rJOP7VBrj3E.mp4?tag=2")</f>
        <v/>
      </c>
      <c r="G1585" t="s"/>
      <c r="H1585" t="s"/>
      <c r="I1585" t="s"/>
      <c r="J1585" t="n">
        <v>-0.8834</v>
      </c>
      <c r="K1585" t="n">
        <v>0.452</v>
      </c>
      <c r="L1585" t="n">
        <v>0.502</v>
      </c>
      <c r="M1585" t="n">
        <v>0.047</v>
      </c>
    </row>
    <row r="1586" spans="1:13">
      <c r="A1586" s="1">
        <f>HYPERLINK("http://www.twitter.com/NathanBLawrence/status/992102670398717952", "992102670398717952")</f>
        <v/>
      </c>
      <c r="B1586" s="2" t="n">
        <v>43223.75327546296</v>
      </c>
      <c r="C1586" t="n">
        <v>0</v>
      </c>
      <c r="D1586" t="n">
        <v>0</v>
      </c>
      <c r="E1586" t="s">
        <v>1596</v>
      </c>
      <c r="F1586" t="s"/>
      <c r="G1586" t="s"/>
      <c r="H1586" t="s"/>
      <c r="I1586" t="s"/>
      <c r="J1586" t="n">
        <v>0.4802</v>
      </c>
      <c r="K1586" t="n">
        <v>0.07099999999999999</v>
      </c>
      <c r="L1586" t="n">
        <v>0.759</v>
      </c>
      <c r="M1586" t="n">
        <v>0.17</v>
      </c>
    </row>
    <row r="1587" spans="1:13">
      <c r="A1587" s="1">
        <f>HYPERLINK("http://www.twitter.com/NathanBLawrence/status/992093333060124673", "992093333060124673")</f>
        <v/>
      </c>
      <c r="B1587" s="2" t="n">
        <v>43223.72751157408</v>
      </c>
      <c r="C1587" t="n">
        <v>0</v>
      </c>
      <c r="D1587" t="n">
        <v>325</v>
      </c>
      <c r="E1587" t="s">
        <v>1597</v>
      </c>
      <c r="F1587">
        <f>HYPERLINK("http://pbs.twimg.com/media/DcSJ5H-W0AUEgQk.jpg", "http://pbs.twimg.com/media/DcSJ5H-W0AUEgQk.jpg")</f>
        <v/>
      </c>
      <c r="G1587" t="s"/>
      <c r="H1587" t="s"/>
      <c r="I1587" t="s"/>
      <c r="J1587" t="n">
        <v>-0.5994</v>
      </c>
      <c r="K1587" t="n">
        <v>0.163</v>
      </c>
      <c r="L1587" t="n">
        <v>0.837</v>
      </c>
      <c r="M1587" t="n">
        <v>0</v>
      </c>
    </row>
    <row r="1588" spans="1:13">
      <c r="A1588" s="1">
        <f>HYPERLINK("http://www.twitter.com/NathanBLawrence/status/992093036376018944", "992093036376018944")</f>
        <v/>
      </c>
      <c r="B1588" s="2" t="n">
        <v>43223.72668981482</v>
      </c>
      <c r="C1588" t="n">
        <v>2</v>
      </c>
      <c r="D1588" t="n">
        <v>1</v>
      </c>
      <c r="E1588" t="s">
        <v>1598</v>
      </c>
      <c r="F1588" t="s"/>
      <c r="G1588" t="s"/>
      <c r="H1588" t="s"/>
      <c r="I1588" t="s"/>
      <c r="J1588" t="n">
        <v>-0.4692</v>
      </c>
      <c r="K1588" t="n">
        <v>0.139</v>
      </c>
      <c r="L1588" t="n">
        <v>0.775</v>
      </c>
      <c r="M1588" t="n">
        <v>0.08599999999999999</v>
      </c>
    </row>
    <row r="1589" spans="1:13">
      <c r="A1589" s="1">
        <f>HYPERLINK("http://www.twitter.com/NathanBLawrence/status/992090583261851649", "992090583261851649")</f>
        <v/>
      </c>
      <c r="B1589" s="2" t="n">
        <v>43223.71991898148</v>
      </c>
      <c r="C1589" t="n">
        <v>0</v>
      </c>
      <c r="D1589" t="n">
        <v>16</v>
      </c>
      <c r="E1589" t="s">
        <v>1599</v>
      </c>
      <c r="F1589" t="s"/>
      <c r="G1589" t="s"/>
      <c r="H1589" t="s"/>
      <c r="I1589" t="s"/>
      <c r="J1589" t="n">
        <v>-0.1027</v>
      </c>
      <c r="K1589" t="n">
        <v>0.062</v>
      </c>
      <c r="L1589" t="n">
        <v>0.9379999999999999</v>
      </c>
      <c r="M1589" t="n">
        <v>0</v>
      </c>
    </row>
    <row r="1590" spans="1:13">
      <c r="A1590" s="1">
        <f>HYPERLINK("http://www.twitter.com/NathanBLawrence/status/992089939557761024", "992089939557761024")</f>
        <v/>
      </c>
      <c r="B1590" s="2" t="n">
        <v>43223.71814814815</v>
      </c>
      <c r="C1590" t="n">
        <v>1</v>
      </c>
      <c r="D1590" t="n">
        <v>0</v>
      </c>
      <c r="E1590" t="s">
        <v>1600</v>
      </c>
      <c r="F1590" t="s"/>
      <c r="G1590" t="s"/>
      <c r="H1590" t="s"/>
      <c r="I1590" t="s"/>
      <c r="J1590" t="n">
        <v>-0.0258</v>
      </c>
      <c r="K1590" t="n">
        <v>0.127</v>
      </c>
      <c r="L1590" t="n">
        <v>0.713</v>
      </c>
      <c r="M1590" t="n">
        <v>0.16</v>
      </c>
    </row>
    <row r="1591" spans="1:13">
      <c r="A1591" s="1">
        <f>HYPERLINK("http://www.twitter.com/NathanBLawrence/status/992084269534081024", "992084269534081024")</f>
        <v/>
      </c>
      <c r="B1591" s="2" t="n">
        <v>43223.7025</v>
      </c>
      <c r="C1591" t="n">
        <v>3</v>
      </c>
      <c r="D1591" t="n">
        <v>1</v>
      </c>
      <c r="E1591" t="s">
        <v>1601</v>
      </c>
      <c r="F1591" t="s"/>
      <c r="G1591" t="s"/>
      <c r="H1591" t="s"/>
      <c r="I1591" t="s"/>
      <c r="J1591" t="n">
        <v>-0.7003</v>
      </c>
      <c r="K1591" t="n">
        <v>0.224</v>
      </c>
      <c r="L1591" t="n">
        <v>0.6899999999999999</v>
      </c>
      <c r="M1591" t="n">
        <v>0.08599999999999999</v>
      </c>
    </row>
    <row r="1592" spans="1:13">
      <c r="A1592" s="1">
        <f>HYPERLINK("http://www.twitter.com/NathanBLawrence/status/992082886927966208", "992082886927966208")</f>
        <v/>
      </c>
      <c r="B1592" s="2" t="n">
        <v>43223.69868055556</v>
      </c>
      <c r="C1592" t="n">
        <v>0</v>
      </c>
      <c r="D1592" t="n">
        <v>17484</v>
      </c>
      <c r="E1592" t="s">
        <v>1602</v>
      </c>
      <c r="F1592" t="s"/>
      <c r="G1592" t="s"/>
      <c r="H1592" t="s"/>
      <c r="I1592" t="s"/>
      <c r="J1592" t="n">
        <v>-0.6597</v>
      </c>
      <c r="K1592" t="n">
        <v>0.221</v>
      </c>
      <c r="L1592" t="n">
        <v>0.779</v>
      </c>
      <c r="M1592" t="n">
        <v>0</v>
      </c>
    </row>
    <row r="1593" spans="1:13">
      <c r="A1593" s="1">
        <f>HYPERLINK("http://www.twitter.com/NathanBLawrence/status/992082869437677568", "992082869437677568")</f>
        <v/>
      </c>
      <c r="B1593" s="2" t="n">
        <v>43223.69863425926</v>
      </c>
      <c r="C1593" t="n">
        <v>0</v>
      </c>
      <c r="D1593" t="n">
        <v>16661</v>
      </c>
      <c r="E1593" t="s">
        <v>1603</v>
      </c>
      <c r="F1593" t="s"/>
      <c r="G1593" t="s"/>
      <c r="H1593" t="s"/>
      <c r="I1593" t="s"/>
      <c r="J1593" t="n">
        <v>0.4939</v>
      </c>
      <c r="K1593" t="n">
        <v>0</v>
      </c>
      <c r="L1593" t="n">
        <v>0.882</v>
      </c>
      <c r="M1593" t="n">
        <v>0.118</v>
      </c>
    </row>
    <row r="1594" spans="1:13">
      <c r="A1594" s="1">
        <f>HYPERLINK("http://www.twitter.com/NathanBLawrence/status/992082848197763073", "992082848197763073")</f>
        <v/>
      </c>
      <c r="B1594" s="2" t="n">
        <v>43223.69857638889</v>
      </c>
      <c r="C1594" t="n">
        <v>0</v>
      </c>
      <c r="D1594" t="n">
        <v>16019</v>
      </c>
      <c r="E1594" t="s">
        <v>1604</v>
      </c>
      <c r="F1594" t="s"/>
      <c r="G1594" t="s"/>
      <c r="H1594" t="s"/>
      <c r="I1594" t="s"/>
      <c r="J1594" t="n">
        <v>0</v>
      </c>
      <c r="K1594" t="n">
        <v>0</v>
      </c>
      <c r="L1594" t="n">
        <v>1</v>
      </c>
      <c r="M1594" t="n">
        <v>0</v>
      </c>
    </row>
    <row r="1595" spans="1:13">
      <c r="A1595" s="1">
        <f>HYPERLINK("http://www.twitter.com/NathanBLawrence/status/992082440310079490", "992082440310079490")</f>
        <v/>
      </c>
      <c r="B1595" s="2" t="n">
        <v>43223.6974537037</v>
      </c>
      <c r="C1595" t="n">
        <v>0</v>
      </c>
      <c r="D1595" t="n">
        <v>15820</v>
      </c>
      <c r="E1595" t="s">
        <v>1605</v>
      </c>
      <c r="F1595" t="s"/>
      <c r="G1595" t="s"/>
      <c r="H1595" t="s"/>
      <c r="I1595" t="s"/>
      <c r="J1595" t="n">
        <v>0.7345</v>
      </c>
      <c r="K1595" t="n">
        <v>0</v>
      </c>
      <c r="L1595" t="n">
        <v>0.764</v>
      </c>
      <c r="M1595" t="n">
        <v>0.236</v>
      </c>
    </row>
    <row r="1596" spans="1:13">
      <c r="A1596" s="1">
        <f>HYPERLINK("http://www.twitter.com/NathanBLawrence/status/992080527996813312", "992080527996813312")</f>
        <v/>
      </c>
      <c r="B1596" s="2" t="n">
        <v>43223.69217592593</v>
      </c>
      <c r="C1596" t="n">
        <v>0</v>
      </c>
      <c r="D1596" t="n">
        <v>16949</v>
      </c>
      <c r="E1596" t="s">
        <v>1606</v>
      </c>
      <c r="F1596" t="s"/>
      <c r="G1596" t="s"/>
      <c r="H1596" t="s"/>
      <c r="I1596" t="s"/>
      <c r="J1596" t="n">
        <v>0.8934</v>
      </c>
      <c r="K1596" t="n">
        <v>0</v>
      </c>
      <c r="L1596" t="n">
        <v>0.614</v>
      </c>
      <c r="M1596" t="n">
        <v>0.386</v>
      </c>
    </row>
    <row r="1597" spans="1:13">
      <c r="A1597" s="1">
        <f>HYPERLINK("http://www.twitter.com/NathanBLawrence/status/992080449273921536", "992080449273921536")</f>
        <v/>
      </c>
      <c r="B1597" s="2" t="n">
        <v>43223.69195601852</v>
      </c>
      <c r="C1597" t="n">
        <v>0</v>
      </c>
      <c r="D1597" t="n">
        <v>23183</v>
      </c>
      <c r="E1597" t="s">
        <v>1607</v>
      </c>
      <c r="F1597" t="s"/>
      <c r="G1597" t="s"/>
      <c r="H1597" t="s"/>
      <c r="I1597" t="s"/>
      <c r="J1597" t="n">
        <v>0</v>
      </c>
      <c r="K1597" t="n">
        <v>0</v>
      </c>
      <c r="L1597" t="n">
        <v>1</v>
      </c>
      <c r="M1597" t="n">
        <v>0</v>
      </c>
    </row>
    <row r="1598" spans="1:13">
      <c r="A1598" s="1">
        <f>HYPERLINK("http://www.twitter.com/NathanBLawrence/status/992080267517939713", "992080267517939713")</f>
        <v/>
      </c>
      <c r="B1598" s="2" t="n">
        <v>43223.69145833333</v>
      </c>
      <c r="C1598" t="n">
        <v>0</v>
      </c>
      <c r="D1598" t="n">
        <v>23265</v>
      </c>
      <c r="E1598" t="s">
        <v>1608</v>
      </c>
      <c r="F1598" t="s"/>
      <c r="G1598" t="s"/>
      <c r="H1598" t="s"/>
      <c r="I1598" t="s"/>
      <c r="J1598" t="n">
        <v>0.2263</v>
      </c>
      <c r="K1598" t="n">
        <v>0.074</v>
      </c>
      <c r="L1598" t="n">
        <v>0.8169999999999999</v>
      </c>
      <c r="M1598" t="n">
        <v>0.109</v>
      </c>
    </row>
    <row r="1599" spans="1:13">
      <c r="A1599" s="1">
        <f>HYPERLINK("http://www.twitter.com/NathanBLawrence/status/992079923807322112", "992079923807322112")</f>
        <v/>
      </c>
      <c r="B1599" s="2" t="n">
        <v>43223.69050925926</v>
      </c>
      <c r="C1599" t="n">
        <v>0</v>
      </c>
      <c r="D1599" t="n">
        <v>13476</v>
      </c>
      <c r="E1599" t="s">
        <v>1609</v>
      </c>
      <c r="F1599">
        <f>HYPERLINK("https://video.twimg.com/amplify_video/992072503509114881/vid/1280x720/aEJTUuZj_NwIbtxR.mp4?tag=2", "https://video.twimg.com/amplify_video/992072503509114881/vid/1280x720/aEJTUuZj_NwIbtxR.mp4?tag=2")</f>
        <v/>
      </c>
      <c r="G1599" t="s"/>
      <c r="H1599" t="s"/>
      <c r="I1599" t="s"/>
      <c r="J1599" t="n">
        <v>0.906</v>
      </c>
      <c r="K1599" t="n">
        <v>0</v>
      </c>
      <c r="L1599" t="n">
        <v>0.601</v>
      </c>
      <c r="M1599" t="n">
        <v>0.399</v>
      </c>
    </row>
    <row r="1600" spans="1:13">
      <c r="A1600" s="1">
        <f>HYPERLINK("http://www.twitter.com/NathanBLawrence/status/992077311133466624", "992077311133466624")</f>
        <v/>
      </c>
      <c r="B1600" s="2" t="n">
        <v>43223.68329861111</v>
      </c>
      <c r="C1600" t="n">
        <v>0</v>
      </c>
      <c r="D1600" t="n">
        <v>0</v>
      </c>
      <c r="E1600" t="s">
        <v>1610</v>
      </c>
      <c r="F1600" t="s"/>
      <c r="G1600" t="s"/>
      <c r="H1600" t="s"/>
      <c r="I1600" t="s"/>
      <c r="J1600" t="n">
        <v>0</v>
      </c>
      <c r="K1600" t="n">
        <v>0</v>
      </c>
      <c r="L1600" t="n">
        <v>1</v>
      </c>
      <c r="M1600" t="n">
        <v>0</v>
      </c>
    </row>
    <row r="1601" spans="1:13">
      <c r="A1601" s="1">
        <f>HYPERLINK("http://www.twitter.com/NathanBLawrence/status/992065251989381121", "992065251989381121")</f>
        <v/>
      </c>
      <c r="B1601" s="2" t="n">
        <v>43223.65002314815</v>
      </c>
      <c r="C1601" t="n">
        <v>0</v>
      </c>
      <c r="D1601" t="n">
        <v>0</v>
      </c>
      <c r="E1601" t="s">
        <v>1611</v>
      </c>
      <c r="F1601">
        <f>HYPERLINK("http://pbs.twimg.com/media/DcSFwxbUwAAHQRx.jpg", "http://pbs.twimg.com/media/DcSFwxbUwAAHQRx.jpg")</f>
        <v/>
      </c>
      <c r="G1601">
        <f>HYPERLINK("http://pbs.twimg.com/media/DcSGCq7U0AAFpzZ.jpg", "http://pbs.twimg.com/media/DcSGCq7U0AAFpzZ.jpg")</f>
        <v/>
      </c>
      <c r="H1601" t="s"/>
      <c r="I1601" t="s"/>
      <c r="J1601" t="n">
        <v>0.6597</v>
      </c>
      <c r="K1601" t="n">
        <v>0</v>
      </c>
      <c r="L1601" t="n">
        <v>0.875</v>
      </c>
      <c r="M1601" t="n">
        <v>0.125</v>
      </c>
    </row>
    <row r="1602" spans="1:13">
      <c r="A1602" s="1">
        <f>HYPERLINK("http://www.twitter.com/NathanBLawrence/status/992061239676125185", "992061239676125185")</f>
        <v/>
      </c>
      <c r="B1602" s="2" t="n">
        <v>43223.63894675926</v>
      </c>
      <c r="C1602" t="n">
        <v>2</v>
      </c>
      <c r="D1602" t="n">
        <v>0</v>
      </c>
      <c r="E1602" t="s">
        <v>1612</v>
      </c>
      <c r="F1602" t="s"/>
      <c r="G1602" t="s"/>
      <c r="H1602" t="s"/>
      <c r="I1602" t="s"/>
      <c r="J1602" t="n">
        <v>0</v>
      </c>
      <c r="K1602" t="n">
        <v>0</v>
      </c>
      <c r="L1602" t="n">
        <v>1</v>
      </c>
      <c r="M1602" t="n">
        <v>0</v>
      </c>
    </row>
    <row r="1603" spans="1:13">
      <c r="A1603" s="1">
        <f>HYPERLINK("http://www.twitter.com/NathanBLawrence/status/992060735466307584", "992060735466307584")</f>
        <v/>
      </c>
      <c r="B1603" s="2" t="n">
        <v>43223.63755787037</v>
      </c>
      <c r="C1603" t="n">
        <v>8</v>
      </c>
      <c r="D1603" t="n">
        <v>8</v>
      </c>
      <c r="E1603" t="s">
        <v>1613</v>
      </c>
      <c r="F1603">
        <f>HYPERLINK("http://pbs.twimg.com/media/DcSBzJBUwAANLwC.jpg", "http://pbs.twimg.com/media/DcSBzJBUwAANLwC.jpg")</f>
        <v/>
      </c>
      <c r="G1603" t="s"/>
      <c r="H1603" t="s"/>
      <c r="I1603" t="s"/>
      <c r="J1603" t="n">
        <v>-0.8934</v>
      </c>
      <c r="K1603" t="n">
        <v>0.295</v>
      </c>
      <c r="L1603" t="n">
        <v>0.705</v>
      </c>
      <c r="M1603" t="n">
        <v>0</v>
      </c>
    </row>
    <row r="1604" spans="1:13">
      <c r="A1604" s="1">
        <f>HYPERLINK("http://www.twitter.com/NathanBLawrence/status/992060095071535104", "992060095071535104")</f>
        <v/>
      </c>
      <c r="B1604" s="2" t="n">
        <v>43223.63578703703</v>
      </c>
      <c r="C1604" t="n">
        <v>1</v>
      </c>
      <c r="D1604" t="n">
        <v>0</v>
      </c>
      <c r="E1604" t="s">
        <v>1614</v>
      </c>
      <c r="F1604" t="s"/>
      <c r="G1604" t="s"/>
      <c r="H1604" t="s"/>
      <c r="I1604" t="s"/>
      <c r="J1604" t="n">
        <v>-0.6597</v>
      </c>
      <c r="K1604" t="n">
        <v>0.116</v>
      </c>
      <c r="L1604" t="n">
        <v>0.884</v>
      </c>
      <c r="M1604" t="n">
        <v>0</v>
      </c>
    </row>
    <row r="1605" spans="1:13">
      <c r="A1605" s="1">
        <f>HYPERLINK("http://www.twitter.com/NathanBLawrence/status/992057700501540865", "992057700501540865")</f>
        <v/>
      </c>
      <c r="B1605" s="2" t="n">
        <v>43223.62917824074</v>
      </c>
      <c r="C1605" t="n">
        <v>0</v>
      </c>
      <c r="D1605" t="n">
        <v>6</v>
      </c>
      <c r="E1605" t="s">
        <v>1615</v>
      </c>
      <c r="F1605" t="s"/>
      <c r="G1605" t="s"/>
      <c r="H1605" t="s"/>
      <c r="I1605" t="s"/>
      <c r="J1605" t="n">
        <v>-0.6625</v>
      </c>
      <c r="K1605" t="n">
        <v>0.174</v>
      </c>
      <c r="L1605" t="n">
        <v>0.826</v>
      </c>
      <c r="M1605" t="n">
        <v>0</v>
      </c>
    </row>
    <row r="1606" spans="1:13">
      <c r="A1606" s="1">
        <f>HYPERLINK("http://www.twitter.com/NathanBLawrence/status/991905116071477249", "991905116071477249")</f>
        <v/>
      </c>
      <c r="B1606" s="2" t="n">
        <v>43223.20813657407</v>
      </c>
      <c r="C1606" t="n">
        <v>0</v>
      </c>
      <c r="D1606" t="n">
        <v>4</v>
      </c>
      <c r="E1606" t="s">
        <v>1616</v>
      </c>
      <c r="F1606" t="s"/>
      <c r="G1606" t="s"/>
      <c r="H1606" t="s"/>
      <c r="I1606" t="s"/>
      <c r="J1606" t="n">
        <v>-0.8074</v>
      </c>
      <c r="K1606" t="n">
        <v>0.343</v>
      </c>
      <c r="L1606" t="n">
        <v>0.657</v>
      </c>
      <c r="M1606" t="n">
        <v>0</v>
      </c>
    </row>
    <row r="1607" spans="1:13">
      <c r="A1607" s="1">
        <f>HYPERLINK("http://www.twitter.com/NathanBLawrence/status/991905033347260416", "991905033347260416")</f>
        <v/>
      </c>
      <c r="B1607" s="2" t="n">
        <v>43223.20790509259</v>
      </c>
      <c r="C1607" t="n">
        <v>0</v>
      </c>
      <c r="D1607" t="n">
        <v>5</v>
      </c>
      <c r="E1607" t="s">
        <v>1617</v>
      </c>
      <c r="F1607" t="s"/>
      <c r="G1607" t="s"/>
      <c r="H1607" t="s"/>
      <c r="I1607" t="s"/>
      <c r="J1607" t="n">
        <v>0.7846</v>
      </c>
      <c r="K1607" t="n">
        <v>0</v>
      </c>
      <c r="L1607" t="n">
        <v>0.67</v>
      </c>
      <c r="M1607" t="n">
        <v>0.33</v>
      </c>
    </row>
    <row r="1608" spans="1:13">
      <c r="A1608" s="1">
        <f>HYPERLINK("http://www.twitter.com/NathanBLawrence/status/991904919513780224", "991904919513780224")</f>
        <v/>
      </c>
      <c r="B1608" s="2" t="n">
        <v>43223.20759259259</v>
      </c>
      <c r="C1608" t="n">
        <v>0</v>
      </c>
      <c r="D1608" t="n">
        <v>5</v>
      </c>
      <c r="E1608" t="s">
        <v>1618</v>
      </c>
      <c r="F1608" t="s"/>
      <c r="G1608" t="s"/>
      <c r="H1608" t="s"/>
      <c r="I1608" t="s"/>
      <c r="J1608" t="n">
        <v>0</v>
      </c>
      <c r="K1608" t="n">
        <v>0</v>
      </c>
      <c r="L1608" t="n">
        <v>1</v>
      </c>
      <c r="M1608" t="n">
        <v>0</v>
      </c>
    </row>
    <row r="1609" spans="1:13">
      <c r="A1609" s="1">
        <f>HYPERLINK("http://www.twitter.com/NathanBLawrence/status/991904797111369728", "991904797111369728")</f>
        <v/>
      </c>
      <c r="B1609" s="2" t="n">
        <v>43223.20724537037</v>
      </c>
      <c r="C1609" t="n">
        <v>0</v>
      </c>
      <c r="D1609" t="n">
        <v>5</v>
      </c>
      <c r="E1609" t="s">
        <v>1619</v>
      </c>
      <c r="F1609" t="s"/>
      <c r="G1609" t="s"/>
      <c r="H1609" t="s"/>
      <c r="I1609" t="s"/>
      <c r="J1609" t="n">
        <v>-0.4404</v>
      </c>
      <c r="K1609" t="n">
        <v>0.187</v>
      </c>
      <c r="L1609" t="n">
        <v>0.727</v>
      </c>
      <c r="M1609" t="n">
        <v>0.08699999999999999</v>
      </c>
    </row>
    <row r="1610" spans="1:13">
      <c r="A1610" s="1">
        <f>HYPERLINK("http://www.twitter.com/NathanBLawrence/status/991904641641103360", "991904641641103360")</f>
        <v/>
      </c>
      <c r="B1610" s="2" t="n">
        <v>43223.20681712963</v>
      </c>
      <c r="C1610" t="n">
        <v>0</v>
      </c>
      <c r="D1610" t="n">
        <v>2</v>
      </c>
      <c r="E1610" t="s">
        <v>1620</v>
      </c>
      <c r="F1610" t="s"/>
      <c r="G1610" t="s"/>
      <c r="H1610" t="s"/>
      <c r="I1610" t="s"/>
      <c r="J1610" t="n">
        <v>0.6623</v>
      </c>
      <c r="K1610" t="n">
        <v>0</v>
      </c>
      <c r="L1610" t="n">
        <v>0.758</v>
      </c>
      <c r="M1610" t="n">
        <v>0.242</v>
      </c>
    </row>
    <row r="1611" spans="1:13">
      <c r="A1611" s="1">
        <f>HYPERLINK("http://www.twitter.com/NathanBLawrence/status/991904591238201344", "991904591238201344")</f>
        <v/>
      </c>
      <c r="B1611" s="2" t="n">
        <v>43223.20667824074</v>
      </c>
      <c r="C1611" t="n">
        <v>0</v>
      </c>
      <c r="D1611" t="n">
        <v>1</v>
      </c>
      <c r="E1611" t="s">
        <v>1621</v>
      </c>
      <c r="F1611" t="s"/>
      <c r="G1611" t="s"/>
      <c r="H1611" t="s"/>
      <c r="I1611" t="s"/>
      <c r="J1611" t="n">
        <v>-0.7783</v>
      </c>
      <c r="K1611" t="n">
        <v>0.274</v>
      </c>
      <c r="L1611" t="n">
        <v>0.726</v>
      </c>
      <c r="M1611" t="n">
        <v>0</v>
      </c>
    </row>
    <row r="1612" spans="1:13">
      <c r="A1612" s="1">
        <f>HYPERLINK("http://www.twitter.com/NathanBLawrence/status/991904476733714434", "991904476733714434")</f>
        <v/>
      </c>
      <c r="B1612" s="2" t="n">
        <v>43223.20636574074</v>
      </c>
      <c r="C1612" t="n">
        <v>0</v>
      </c>
      <c r="D1612" t="n">
        <v>2</v>
      </c>
      <c r="E1612" t="s">
        <v>1622</v>
      </c>
      <c r="F1612" t="s"/>
      <c r="G1612" t="s"/>
      <c r="H1612" t="s"/>
      <c r="I1612" t="s"/>
      <c r="J1612" t="n">
        <v>0</v>
      </c>
      <c r="K1612" t="n">
        <v>0</v>
      </c>
      <c r="L1612" t="n">
        <v>1</v>
      </c>
      <c r="M1612" t="n">
        <v>0</v>
      </c>
    </row>
    <row r="1613" spans="1:13">
      <c r="A1613" s="1">
        <f>HYPERLINK("http://www.twitter.com/NathanBLawrence/status/991902879748255745", "991902879748255745")</f>
        <v/>
      </c>
      <c r="B1613" s="2" t="n">
        <v>43223.20195601852</v>
      </c>
      <c r="C1613" t="n">
        <v>0</v>
      </c>
      <c r="D1613" t="n">
        <v>5</v>
      </c>
      <c r="E1613" t="s">
        <v>1623</v>
      </c>
      <c r="F1613" t="s"/>
      <c r="G1613" t="s"/>
      <c r="H1613" t="s"/>
      <c r="I1613" t="s"/>
      <c r="J1613" t="n">
        <v>0.5106000000000001</v>
      </c>
      <c r="K1613" t="n">
        <v>0</v>
      </c>
      <c r="L1613" t="n">
        <v>0.864</v>
      </c>
      <c r="M1613" t="n">
        <v>0.136</v>
      </c>
    </row>
    <row r="1614" spans="1:13">
      <c r="A1614" s="1">
        <f>HYPERLINK("http://www.twitter.com/NathanBLawrence/status/991898592511123456", "991898592511123456")</f>
        <v/>
      </c>
      <c r="B1614" s="2" t="n">
        <v>43223.19012731482</v>
      </c>
      <c r="C1614" t="n">
        <v>0</v>
      </c>
      <c r="D1614" t="n">
        <v>13</v>
      </c>
      <c r="E1614" t="s">
        <v>1624</v>
      </c>
      <c r="F1614" t="s"/>
      <c r="G1614" t="s"/>
      <c r="H1614" t="s"/>
      <c r="I1614" t="s"/>
      <c r="J1614" t="n">
        <v>-0.3182</v>
      </c>
      <c r="K1614" t="n">
        <v>0.272</v>
      </c>
      <c r="L1614" t="n">
        <v>0.553</v>
      </c>
      <c r="M1614" t="n">
        <v>0.174</v>
      </c>
    </row>
    <row r="1615" spans="1:13">
      <c r="A1615" s="1">
        <f>HYPERLINK("http://www.twitter.com/NathanBLawrence/status/991895773561286656", "991895773561286656")</f>
        <v/>
      </c>
      <c r="B1615" s="2" t="n">
        <v>43223.18234953703</v>
      </c>
      <c r="C1615" t="n">
        <v>6</v>
      </c>
      <c r="D1615" t="n">
        <v>4</v>
      </c>
      <c r="E1615" t="s">
        <v>1625</v>
      </c>
      <c r="F1615" t="s"/>
      <c r="G1615" t="s"/>
      <c r="H1615" t="s"/>
      <c r="I1615" t="s"/>
      <c r="J1615" t="n">
        <v>-0.6289</v>
      </c>
      <c r="K1615" t="n">
        <v>0.108</v>
      </c>
      <c r="L1615" t="n">
        <v>0.892</v>
      </c>
      <c r="M1615" t="n">
        <v>0</v>
      </c>
    </row>
    <row r="1616" spans="1:13">
      <c r="A1616" s="1">
        <f>HYPERLINK("http://www.twitter.com/NathanBLawrence/status/991894203520040961", "991894203520040961")</f>
        <v/>
      </c>
      <c r="B1616" s="2" t="n">
        <v>43223.17802083334</v>
      </c>
      <c r="C1616" t="n">
        <v>0</v>
      </c>
      <c r="D1616" t="n">
        <v>18</v>
      </c>
      <c r="E1616" t="s">
        <v>1626</v>
      </c>
      <c r="F1616">
        <f>HYPERLINK("http://pbs.twimg.com/media/DcPevNVUwAIDIyV.jpg", "http://pbs.twimg.com/media/DcPevNVUwAIDIyV.jpg")</f>
        <v/>
      </c>
      <c r="G1616" t="s"/>
      <c r="H1616" t="s"/>
      <c r="I1616" t="s"/>
      <c r="J1616" t="n">
        <v>0</v>
      </c>
      <c r="K1616" t="n">
        <v>0</v>
      </c>
      <c r="L1616" t="n">
        <v>1</v>
      </c>
      <c r="M1616" t="n">
        <v>0</v>
      </c>
    </row>
    <row r="1617" spans="1:13">
      <c r="A1617" s="1">
        <f>HYPERLINK("http://www.twitter.com/NathanBLawrence/status/991889425901600768", "991889425901600768")</f>
        <v/>
      </c>
      <c r="B1617" s="2" t="n">
        <v>43223.16483796296</v>
      </c>
      <c r="C1617" t="n">
        <v>0</v>
      </c>
      <c r="D1617" t="n">
        <v>79</v>
      </c>
      <c r="E1617" t="s">
        <v>1627</v>
      </c>
      <c r="F1617">
        <f>HYPERLINK("https://video.twimg.com/ext_tw_video/990762465834217472/pu/vid/720x720/H098-PY6oKEhu4If.mp4?tag=3", "https://video.twimg.com/ext_tw_video/990762465834217472/pu/vid/720x720/H098-PY6oKEhu4If.mp4?tag=3")</f>
        <v/>
      </c>
      <c r="G1617" t="s"/>
      <c r="H1617" t="s"/>
      <c r="I1617" t="s"/>
      <c r="J1617" t="n">
        <v>0.8126</v>
      </c>
      <c r="K1617" t="n">
        <v>0</v>
      </c>
      <c r="L1617" t="n">
        <v>0.709</v>
      </c>
      <c r="M1617" t="n">
        <v>0.291</v>
      </c>
    </row>
    <row r="1618" spans="1:13">
      <c r="A1618" s="1">
        <f>HYPERLINK("http://www.twitter.com/NathanBLawrence/status/991889052319105024", "991889052319105024")</f>
        <v/>
      </c>
      <c r="B1618" s="2" t="n">
        <v>43223.16380787037</v>
      </c>
      <c r="C1618" t="n">
        <v>0</v>
      </c>
      <c r="D1618" t="n">
        <v>599</v>
      </c>
      <c r="E1618" t="s">
        <v>1628</v>
      </c>
      <c r="F1618">
        <f>HYPERLINK("http://pbs.twimg.com/media/DcCnBPxV0AAcZ48.jpg", "http://pbs.twimg.com/media/DcCnBPxV0AAcZ48.jpg")</f>
        <v/>
      </c>
      <c r="G1618" t="s"/>
      <c r="H1618" t="s"/>
      <c r="I1618" t="s"/>
      <c r="J1618" t="n">
        <v>-0.6124000000000001</v>
      </c>
      <c r="K1618" t="n">
        <v>0.208</v>
      </c>
      <c r="L1618" t="n">
        <v>0.792</v>
      </c>
      <c r="M1618" t="n">
        <v>0</v>
      </c>
    </row>
    <row r="1619" spans="1:13">
      <c r="A1619" s="1">
        <f>HYPERLINK("http://www.twitter.com/NathanBLawrence/status/991888663431626752", "991888663431626752")</f>
        <v/>
      </c>
      <c r="B1619" s="2" t="n">
        <v>43223.16273148148</v>
      </c>
      <c r="C1619" t="n">
        <v>0</v>
      </c>
      <c r="D1619" t="n">
        <v>2201</v>
      </c>
      <c r="E1619" t="s">
        <v>1629</v>
      </c>
      <c r="F1619" t="s"/>
      <c r="G1619" t="s"/>
      <c r="H1619" t="s"/>
      <c r="I1619" t="s"/>
      <c r="J1619" t="n">
        <v>-0.4767</v>
      </c>
      <c r="K1619" t="n">
        <v>0.237</v>
      </c>
      <c r="L1619" t="n">
        <v>0.763</v>
      </c>
      <c r="M1619" t="n">
        <v>0</v>
      </c>
    </row>
    <row r="1620" spans="1:13">
      <c r="A1620" s="1">
        <f>HYPERLINK("http://www.twitter.com/NathanBLawrence/status/991888632779714560", "991888632779714560")</f>
        <v/>
      </c>
      <c r="B1620" s="2" t="n">
        <v>43223.16265046296</v>
      </c>
      <c r="C1620" t="n">
        <v>0</v>
      </c>
      <c r="D1620" t="n">
        <v>2595</v>
      </c>
      <c r="E1620" t="s">
        <v>1630</v>
      </c>
      <c r="F1620" t="s"/>
      <c r="G1620" t="s"/>
      <c r="H1620" t="s"/>
      <c r="I1620" t="s"/>
      <c r="J1620" t="n">
        <v>0</v>
      </c>
      <c r="K1620" t="n">
        <v>0</v>
      </c>
      <c r="L1620" t="n">
        <v>1</v>
      </c>
      <c r="M1620" t="n">
        <v>0</v>
      </c>
    </row>
    <row r="1621" spans="1:13">
      <c r="A1621" s="1">
        <f>HYPERLINK("http://www.twitter.com/NathanBLawrence/status/991888590438219776", "991888590438219776")</f>
        <v/>
      </c>
      <c r="B1621" s="2" t="n">
        <v>43223.16253472222</v>
      </c>
      <c r="C1621" t="n">
        <v>0</v>
      </c>
      <c r="D1621" t="n">
        <v>7958</v>
      </c>
      <c r="E1621" t="s">
        <v>1631</v>
      </c>
      <c r="F1621" t="s"/>
      <c r="G1621" t="s"/>
      <c r="H1621" t="s"/>
      <c r="I1621" t="s"/>
      <c r="J1621" t="n">
        <v>0.2263</v>
      </c>
      <c r="K1621" t="n">
        <v>0.1</v>
      </c>
      <c r="L1621" t="n">
        <v>0.763</v>
      </c>
      <c r="M1621" t="n">
        <v>0.137</v>
      </c>
    </row>
    <row r="1622" spans="1:13">
      <c r="A1622" s="1">
        <f>HYPERLINK("http://www.twitter.com/NathanBLawrence/status/991888544116297728", "991888544116297728")</f>
        <v/>
      </c>
      <c r="B1622" s="2" t="n">
        <v>43223.16239583334</v>
      </c>
      <c r="C1622" t="n">
        <v>0</v>
      </c>
      <c r="D1622" t="n">
        <v>789</v>
      </c>
      <c r="E1622" t="s">
        <v>1632</v>
      </c>
      <c r="F1622" t="s"/>
      <c r="G1622" t="s"/>
      <c r="H1622" t="s"/>
      <c r="I1622" t="s"/>
      <c r="J1622" t="n">
        <v>0</v>
      </c>
      <c r="K1622" t="n">
        <v>0</v>
      </c>
      <c r="L1622" t="n">
        <v>1</v>
      </c>
      <c r="M1622" t="n">
        <v>0</v>
      </c>
    </row>
    <row r="1623" spans="1:13">
      <c r="A1623" s="1">
        <f>HYPERLINK("http://www.twitter.com/NathanBLawrence/status/991888491356147712", "991888491356147712")</f>
        <v/>
      </c>
      <c r="B1623" s="2" t="n">
        <v>43223.16225694444</v>
      </c>
      <c r="C1623" t="n">
        <v>0</v>
      </c>
      <c r="D1623" t="n">
        <v>1394</v>
      </c>
      <c r="E1623" t="s">
        <v>1633</v>
      </c>
      <c r="F1623" t="s"/>
      <c r="G1623" t="s"/>
      <c r="H1623" t="s"/>
      <c r="I1623" t="s"/>
      <c r="J1623" t="n">
        <v>0</v>
      </c>
      <c r="K1623" t="n">
        <v>0.125</v>
      </c>
      <c r="L1623" t="n">
        <v>0.75</v>
      </c>
      <c r="M1623" t="n">
        <v>0.125</v>
      </c>
    </row>
    <row r="1624" spans="1:13">
      <c r="A1624" s="1">
        <f>HYPERLINK("http://www.twitter.com/NathanBLawrence/status/991888444224753664", "991888444224753664")</f>
        <v/>
      </c>
      <c r="B1624" s="2" t="n">
        <v>43223.16212962963</v>
      </c>
      <c r="C1624" t="n">
        <v>0</v>
      </c>
      <c r="D1624" t="n">
        <v>6126</v>
      </c>
      <c r="E1624" t="s">
        <v>1634</v>
      </c>
      <c r="F1624" t="s"/>
      <c r="G1624" t="s"/>
      <c r="H1624" t="s"/>
      <c r="I1624" t="s"/>
      <c r="J1624" t="n">
        <v>0.6369</v>
      </c>
      <c r="K1624" t="n">
        <v>0</v>
      </c>
      <c r="L1624" t="n">
        <v>0.741</v>
      </c>
      <c r="M1624" t="n">
        <v>0.259</v>
      </c>
    </row>
    <row r="1625" spans="1:13">
      <c r="A1625" s="1">
        <f>HYPERLINK("http://www.twitter.com/NathanBLawrence/status/991888403586105344", "991888403586105344")</f>
        <v/>
      </c>
      <c r="B1625" s="2" t="n">
        <v>43223.16201388889</v>
      </c>
      <c r="C1625" t="n">
        <v>0</v>
      </c>
      <c r="D1625" t="n">
        <v>1534</v>
      </c>
      <c r="E1625" t="s">
        <v>1635</v>
      </c>
      <c r="F1625" t="s"/>
      <c r="G1625" t="s"/>
      <c r="H1625" t="s"/>
      <c r="I1625" t="s"/>
      <c r="J1625" t="n">
        <v>0.802</v>
      </c>
      <c r="K1625" t="n">
        <v>0</v>
      </c>
      <c r="L1625" t="n">
        <v>0.753</v>
      </c>
      <c r="M1625" t="n">
        <v>0.247</v>
      </c>
    </row>
    <row r="1626" spans="1:13">
      <c r="A1626" s="1">
        <f>HYPERLINK("http://www.twitter.com/NathanBLawrence/status/991888265899720705", "991888265899720705")</f>
        <v/>
      </c>
      <c r="B1626" s="2" t="n">
        <v>43223.16163194444</v>
      </c>
      <c r="C1626" t="n">
        <v>0</v>
      </c>
      <c r="D1626" t="n">
        <v>1165</v>
      </c>
      <c r="E1626" t="s">
        <v>1636</v>
      </c>
      <c r="F1626" t="s"/>
      <c r="G1626" t="s"/>
      <c r="H1626" t="s"/>
      <c r="I1626" t="s"/>
      <c r="J1626" t="n">
        <v>-0.4588</v>
      </c>
      <c r="K1626" t="n">
        <v>0.214</v>
      </c>
      <c r="L1626" t="n">
        <v>0.786</v>
      </c>
      <c r="M1626" t="n">
        <v>0</v>
      </c>
    </row>
    <row r="1627" spans="1:13">
      <c r="A1627" s="1">
        <f>HYPERLINK("http://www.twitter.com/NathanBLawrence/status/991888106621100032", "991888106621100032")</f>
        <v/>
      </c>
      <c r="B1627" s="2" t="n">
        <v>43223.16119212963</v>
      </c>
      <c r="C1627" t="n">
        <v>0</v>
      </c>
      <c r="D1627" t="n">
        <v>1324</v>
      </c>
      <c r="E1627" t="s">
        <v>1637</v>
      </c>
      <c r="F1627" t="s"/>
      <c r="G1627" t="s"/>
      <c r="H1627" t="s"/>
      <c r="I1627" t="s"/>
      <c r="J1627" t="n">
        <v>0</v>
      </c>
      <c r="K1627" t="n">
        <v>0</v>
      </c>
      <c r="L1627" t="n">
        <v>1</v>
      </c>
      <c r="M1627" t="n">
        <v>0</v>
      </c>
    </row>
    <row r="1628" spans="1:13">
      <c r="A1628" s="1">
        <f>HYPERLINK("http://www.twitter.com/NathanBLawrence/status/991880102127452160", "991880102127452160")</f>
        <v/>
      </c>
      <c r="B1628" s="2" t="n">
        <v>43223.1391087963</v>
      </c>
      <c r="C1628" t="n">
        <v>0</v>
      </c>
      <c r="D1628" t="n">
        <v>1501</v>
      </c>
      <c r="E1628" t="s">
        <v>1638</v>
      </c>
      <c r="F1628">
        <f>HYPERLINK("https://video.twimg.com/ext_tw_video/991714663263080449/pu/vid/1280x720/W84eIouWYLLnHWET.mp4?tag=3", "https://video.twimg.com/ext_tw_video/991714663263080449/pu/vid/1280x720/W84eIouWYLLnHWET.mp4?tag=3")</f>
        <v/>
      </c>
      <c r="G1628" t="s"/>
      <c r="H1628" t="s"/>
      <c r="I1628" t="s"/>
      <c r="J1628" t="n">
        <v>-0.2755</v>
      </c>
      <c r="K1628" t="n">
        <v>0.1</v>
      </c>
      <c r="L1628" t="n">
        <v>0.9</v>
      </c>
      <c r="M1628" t="n">
        <v>0</v>
      </c>
    </row>
    <row r="1629" spans="1:13">
      <c r="A1629" s="1">
        <f>HYPERLINK("http://www.twitter.com/NathanBLawrence/status/991880033605115904", "991880033605115904")</f>
        <v/>
      </c>
      <c r="B1629" s="2" t="n">
        <v>43223.13891203704</v>
      </c>
      <c r="C1629" t="n">
        <v>0</v>
      </c>
      <c r="D1629" t="n">
        <v>555</v>
      </c>
      <c r="E1629" t="s">
        <v>1639</v>
      </c>
      <c r="F1629" t="s"/>
      <c r="G1629" t="s"/>
      <c r="H1629" t="s"/>
      <c r="I1629" t="s"/>
      <c r="J1629" t="n">
        <v>0</v>
      </c>
      <c r="K1629" t="n">
        <v>0</v>
      </c>
      <c r="L1629" t="n">
        <v>1</v>
      </c>
      <c r="M1629" t="n">
        <v>0</v>
      </c>
    </row>
    <row r="1630" spans="1:13">
      <c r="A1630" s="1">
        <f>HYPERLINK("http://www.twitter.com/NathanBLawrence/status/991879691203104769", "991879691203104769")</f>
        <v/>
      </c>
      <c r="B1630" s="2" t="n">
        <v>43223.13797453704</v>
      </c>
      <c r="C1630" t="n">
        <v>0</v>
      </c>
      <c r="D1630" t="n">
        <v>362</v>
      </c>
      <c r="E1630" t="s">
        <v>1640</v>
      </c>
      <c r="F1630" t="s"/>
      <c r="G1630" t="s"/>
      <c r="H1630" t="s"/>
      <c r="I1630" t="s"/>
      <c r="J1630" t="n">
        <v>0</v>
      </c>
      <c r="K1630" t="n">
        <v>0</v>
      </c>
      <c r="L1630" t="n">
        <v>1</v>
      </c>
      <c r="M1630" t="n">
        <v>0</v>
      </c>
    </row>
    <row r="1631" spans="1:13">
      <c r="A1631" s="1">
        <f>HYPERLINK("http://www.twitter.com/NathanBLawrence/status/991879563490742272", "991879563490742272")</f>
        <v/>
      </c>
      <c r="B1631" s="2" t="n">
        <v>43223.13761574074</v>
      </c>
      <c r="C1631" t="n">
        <v>0</v>
      </c>
      <c r="D1631" t="n">
        <v>9921</v>
      </c>
      <c r="E1631" t="s">
        <v>1641</v>
      </c>
      <c r="F1631" t="s"/>
      <c r="G1631" t="s"/>
      <c r="H1631" t="s"/>
      <c r="I1631" t="s"/>
      <c r="J1631" t="n">
        <v>-0.6461</v>
      </c>
      <c r="K1631" t="n">
        <v>0.297</v>
      </c>
      <c r="L1631" t="n">
        <v>0.589</v>
      </c>
      <c r="M1631" t="n">
        <v>0.114</v>
      </c>
    </row>
    <row r="1632" spans="1:13">
      <c r="A1632" s="1">
        <f>HYPERLINK("http://www.twitter.com/NathanBLawrence/status/991879192148000768", "991879192148000768")</f>
        <v/>
      </c>
      <c r="B1632" s="2" t="n">
        <v>43223.13659722222</v>
      </c>
      <c r="C1632" t="n">
        <v>0</v>
      </c>
      <c r="D1632" t="n">
        <v>1</v>
      </c>
      <c r="E1632" t="s">
        <v>1642</v>
      </c>
      <c r="F1632" t="s"/>
      <c r="G1632" t="s"/>
      <c r="H1632" t="s"/>
      <c r="I1632" t="s"/>
      <c r="J1632" t="n">
        <v>0</v>
      </c>
      <c r="K1632" t="n">
        <v>0</v>
      </c>
      <c r="L1632" t="n">
        <v>1</v>
      </c>
      <c r="M1632" t="n">
        <v>0</v>
      </c>
    </row>
    <row r="1633" spans="1:13">
      <c r="A1633" s="1">
        <f>HYPERLINK("http://www.twitter.com/NathanBLawrence/status/991879041337602049", "991879041337602049")</f>
        <v/>
      </c>
      <c r="B1633" s="2" t="n">
        <v>43223.13618055556</v>
      </c>
      <c r="C1633" t="n">
        <v>0</v>
      </c>
      <c r="D1633" t="n">
        <v>1</v>
      </c>
      <c r="E1633" t="s">
        <v>1643</v>
      </c>
      <c r="F1633" t="s"/>
      <c r="G1633" t="s"/>
      <c r="H1633" t="s"/>
      <c r="I1633" t="s"/>
      <c r="J1633" t="n">
        <v>0.8270999999999999</v>
      </c>
      <c r="K1633" t="n">
        <v>0</v>
      </c>
      <c r="L1633" t="n">
        <v>0.749</v>
      </c>
      <c r="M1633" t="n">
        <v>0.251</v>
      </c>
    </row>
    <row r="1634" spans="1:13">
      <c r="A1634" s="1">
        <f>HYPERLINK("http://www.twitter.com/NathanBLawrence/status/991878469217796098", "991878469217796098")</f>
        <v/>
      </c>
      <c r="B1634" s="2" t="n">
        <v>43223.13459490741</v>
      </c>
      <c r="C1634" t="n">
        <v>0</v>
      </c>
      <c r="D1634" t="n">
        <v>1449</v>
      </c>
      <c r="E1634" t="s">
        <v>1644</v>
      </c>
      <c r="F1634" t="s"/>
      <c r="G1634" t="s"/>
      <c r="H1634" t="s"/>
      <c r="I1634" t="s"/>
      <c r="J1634" t="n">
        <v>0.0772</v>
      </c>
      <c r="K1634" t="n">
        <v>0</v>
      </c>
      <c r="L1634" t="n">
        <v>0.9330000000000001</v>
      </c>
      <c r="M1634" t="n">
        <v>0.067</v>
      </c>
    </row>
    <row r="1635" spans="1:13">
      <c r="A1635" s="1">
        <f>HYPERLINK("http://www.twitter.com/NathanBLawrence/status/991878355027816451", "991878355027816451")</f>
        <v/>
      </c>
      <c r="B1635" s="2" t="n">
        <v>43223.13428240741</v>
      </c>
      <c r="C1635" t="n">
        <v>0</v>
      </c>
      <c r="D1635" t="n">
        <v>637</v>
      </c>
      <c r="E1635" t="s">
        <v>1645</v>
      </c>
      <c r="F1635" t="s"/>
      <c r="G1635" t="s"/>
      <c r="H1635" t="s"/>
      <c r="I1635" t="s"/>
      <c r="J1635" t="n">
        <v>-0.25</v>
      </c>
      <c r="K1635" t="n">
        <v>0.135</v>
      </c>
      <c r="L1635" t="n">
        <v>0.769</v>
      </c>
      <c r="M1635" t="n">
        <v>0.096</v>
      </c>
    </row>
    <row r="1636" spans="1:13">
      <c r="A1636" s="1">
        <f>HYPERLINK("http://www.twitter.com/NathanBLawrence/status/991878233724350464", "991878233724350464")</f>
        <v/>
      </c>
      <c r="B1636" s="2" t="n">
        <v>43223.13394675926</v>
      </c>
      <c r="C1636" t="n">
        <v>0</v>
      </c>
      <c r="D1636" t="n">
        <v>2</v>
      </c>
      <c r="E1636" t="s">
        <v>1646</v>
      </c>
      <c r="F1636">
        <f>HYPERLINK("http://pbs.twimg.com/media/DcN3KCTW4AIvis5.jpg", "http://pbs.twimg.com/media/DcN3KCTW4AIvis5.jpg")</f>
        <v/>
      </c>
      <c r="G1636" t="s"/>
      <c r="H1636" t="s"/>
      <c r="I1636" t="s"/>
      <c r="J1636" t="n">
        <v>0</v>
      </c>
      <c r="K1636" t="n">
        <v>0</v>
      </c>
      <c r="L1636" t="n">
        <v>1</v>
      </c>
      <c r="M1636" t="n">
        <v>0</v>
      </c>
    </row>
    <row r="1637" spans="1:13">
      <c r="A1637" s="1">
        <f>HYPERLINK("http://www.twitter.com/NathanBLawrence/status/991878156754735106", "991878156754735106")</f>
        <v/>
      </c>
      <c r="B1637" s="2" t="n">
        <v>43223.13373842592</v>
      </c>
      <c r="C1637" t="n">
        <v>0</v>
      </c>
      <c r="D1637" t="n">
        <v>4</v>
      </c>
      <c r="E1637" t="s">
        <v>1647</v>
      </c>
      <c r="F1637">
        <f>HYPERLINK("http://pbs.twimg.com/media/DcN2la0XcAAmzrD.jpg", "http://pbs.twimg.com/media/DcN2la0XcAAmzrD.jpg")</f>
        <v/>
      </c>
      <c r="G1637" t="s"/>
      <c r="H1637" t="s"/>
      <c r="I1637" t="s"/>
      <c r="J1637" t="n">
        <v>0</v>
      </c>
      <c r="K1637" t="n">
        <v>0</v>
      </c>
      <c r="L1637" t="n">
        <v>1</v>
      </c>
      <c r="M1637" t="n">
        <v>0</v>
      </c>
    </row>
    <row r="1638" spans="1:13">
      <c r="A1638" s="1">
        <f>HYPERLINK("http://www.twitter.com/NathanBLawrence/status/991878109656899585", "991878109656899585")</f>
        <v/>
      </c>
      <c r="B1638" s="2" t="n">
        <v>43223.13361111111</v>
      </c>
      <c r="C1638" t="n">
        <v>0</v>
      </c>
      <c r="D1638" t="n">
        <v>61</v>
      </c>
      <c r="E1638" t="s">
        <v>1648</v>
      </c>
      <c r="F1638">
        <f>HYPERLINK("http://pbs.twimg.com/media/DcNc6WVWsAAD-G3.jpg", "http://pbs.twimg.com/media/DcNc6WVWsAAD-G3.jpg")</f>
        <v/>
      </c>
      <c r="G1638" t="s"/>
      <c r="H1638" t="s"/>
      <c r="I1638" t="s"/>
      <c r="J1638" t="n">
        <v>0</v>
      </c>
      <c r="K1638" t="n">
        <v>0</v>
      </c>
      <c r="L1638" t="n">
        <v>1</v>
      </c>
      <c r="M1638" t="n">
        <v>0</v>
      </c>
    </row>
    <row r="1639" spans="1:13">
      <c r="A1639" s="1">
        <f>HYPERLINK("http://www.twitter.com/NathanBLawrence/status/991878018074271747", "991878018074271747")</f>
        <v/>
      </c>
      <c r="B1639" s="2" t="n">
        <v>43223.13335648148</v>
      </c>
      <c r="C1639" t="n">
        <v>0</v>
      </c>
      <c r="D1639" t="n">
        <v>0</v>
      </c>
      <c r="E1639" t="s">
        <v>1649</v>
      </c>
      <c r="F1639" t="s"/>
      <c r="G1639" t="s"/>
      <c r="H1639" t="s"/>
      <c r="I1639" t="s"/>
      <c r="J1639" t="n">
        <v>0</v>
      </c>
      <c r="K1639" t="n">
        <v>0</v>
      </c>
      <c r="L1639" t="n">
        <v>1</v>
      </c>
      <c r="M1639" t="n">
        <v>0</v>
      </c>
    </row>
    <row r="1640" spans="1:13">
      <c r="A1640" s="1">
        <f>HYPERLINK("http://www.twitter.com/NathanBLawrence/status/991877595342897152", "991877595342897152")</f>
        <v/>
      </c>
      <c r="B1640" s="2" t="n">
        <v>43223.1321875</v>
      </c>
      <c r="C1640" t="n">
        <v>0</v>
      </c>
      <c r="D1640" t="n">
        <v>558</v>
      </c>
      <c r="E1640" t="s">
        <v>1650</v>
      </c>
      <c r="F1640" t="s"/>
      <c r="G1640" t="s"/>
      <c r="H1640" t="s"/>
      <c r="I1640" t="s"/>
      <c r="J1640" t="n">
        <v>0.7745</v>
      </c>
      <c r="K1640" t="n">
        <v>0</v>
      </c>
      <c r="L1640" t="n">
        <v>0.773</v>
      </c>
      <c r="M1640" t="n">
        <v>0.227</v>
      </c>
    </row>
    <row r="1641" spans="1:13">
      <c r="A1641" s="1">
        <f>HYPERLINK("http://www.twitter.com/NathanBLawrence/status/991877368854732801", "991877368854732801")</f>
        <v/>
      </c>
      <c r="B1641" s="2" t="n">
        <v>43223.1315625</v>
      </c>
      <c r="C1641" t="n">
        <v>0</v>
      </c>
      <c r="D1641" t="n">
        <v>344</v>
      </c>
      <c r="E1641" t="s">
        <v>1651</v>
      </c>
      <c r="F1641">
        <f>HYPERLINK("http://pbs.twimg.com/media/DcOAAoSW4AIQzaG.jpg", "http://pbs.twimg.com/media/DcOAAoSW4AIQzaG.jpg")</f>
        <v/>
      </c>
      <c r="G1641" t="s"/>
      <c r="H1641" t="s"/>
      <c r="I1641" t="s"/>
      <c r="J1641" t="n">
        <v>0</v>
      </c>
      <c r="K1641" t="n">
        <v>0</v>
      </c>
      <c r="L1641" t="n">
        <v>1</v>
      </c>
      <c r="M1641" t="n">
        <v>0</v>
      </c>
    </row>
    <row r="1642" spans="1:13">
      <c r="A1642" s="1">
        <f>HYPERLINK("http://www.twitter.com/NathanBLawrence/status/991876840665985024", "991876840665985024")</f>
        <v/>
      </c>
      <c r="B1642" s="2" t="n">
        <v>43223.13010416667</v>
      </c>
      <c r="C1642" t="n">
        <v>0</v>
      </c>
      <c r="D1642" t="n">
        <v>329</v>
      </c>
      <c r="E1642" t="s">
        <v>1652</v>
      </c>
      <c r="F1642">
        <f>HYPERLINK("http://pbs.twimg.com/media/DcNovknVwAES-80.jpg", "http://pbs.twimg.com/media/DcNovknVwAES-80.jpg")</f>
        <v/>
      </c>
      <c r="G1642" t="s"/>
      <c r="H1642" t="s"/>
      <c r="I1642" t="s"/>
      <c r="J1642" t="n">
        <v>0</v>
      </c>
      <c r="K1642" t="n">
        <v>0</v>
      </c>
      <c r="L1642" t="n">
        <v>1</v>
      </c>
      <c r="M1642" t="n">
        <v>0</v>
      </c>
    </row>
    <row r="1643" spans="1:13">
      <c r="A1643" s="1">
        <f>HYPERLINK("http://www.twitter.com/NathanBLawrence/status/991876739839094784", "991876739839094784")</f>
        <v/>
      </c>
      <c r="B1643" s="2" t="n">
        <v>43223.12982638889</v>
      </c>
      <c r="C1643" t="n">
        <v>0</v>
      </c>
      <c r="D1643" t="n">
        <v>147</v>
      </c>
      <c r="E1643" t="s">
        <v>1653</v>
      </c>
      <c r="F1643">
        <f>HYPERLINK("http://pbs.twimg.com/media/DcNoestWAAAibsE.jpg", "http://pbs.twimg.com/media/DcNoestWAAAibsE.jpg")</f>
        <v/>
      </c>
      <c r="G1643" t="s"/>
      <c r="H1643" t="s"/>
      <c r="I1643" t="s"/>
      <c r="J1643" t="n">
        <v>-0.4389</v>
      </c>
      <c r="K1643" t="n">
        <v>0.162</v>
      </c>
      <c r="L1643" t="n">
        <v>0.838</v>
      </c>
      <c r="M1643" t="n">
        <v>0</v>
      </c>
    </row>
    <row r="1644" spans="1:13">
      <c r="A1644" s="1">
        <f>HYPERLINK("http://www.twitter.com/NathanBLawrence/status/991876603939467265", "991876603939467265")</f>
        <v/>
      </c>
      <c r="B1644" s="2" t="n">
        <v>43223.12945601852</v>
      </c>
      <c r="C1644" t="n">
        <v>3</v>
      </c>
      <c r="D1644" t="n">
        <v>3</v>
      </c>
      <c r="E1644" t="s">
        <v>1654</v>
      </c>
      <c r="F1644" t="s"/>
      <c r="G1644" t="s"/>
      <c r="H1644" t="s"/>
      <c r="I1644" t="s"/>
      <c r="J1644" t="n">
        <v>0</v>
      </c>
      <c r="K1644" t="n">
        <v>0</v>
      </c>
      <c r="L1644" t="n">
        <v>1</v>
      </c>
      <c r="M1644" t="n">
        <v>0</v>
      </c>
    </row>
    <row r="1645" spans="1:13">
      <c r="A1645" s="1">
        <f>HYPERLINK("http://www.twitter.com/NathanBLawrence/status/991876317724401664", "991876317724401664")</f>
        <v/>
      </c>
      <c r="B1645" s="2" t="n">
        <v>43223.1286574074</v>
      </c>
      <c r="C1645" t="n">
        <v>0</v>
      </c>
      <c r="D1645" t="n">
        <v>204</v>
      </c>
      <c r="E1645" t="s">
        <v>1655</v>
      </c>
      <c r="F1645" t="s"/>
      <c r="G1645" t="s"/>
      <c r="H1645" t="s"/>
      <c r="I1645" t="s"/>
      <c r="J1645" t="n">
        <v>0.0516</v>
      </c>
      <c r="K1645" t="n">
        <v>0.174</v>
      </c>
      <c r="L1645" t="n">
        <v>0.64</v>
      </c>
      <c r="M1645" t="n">
        <v>0.186</v>
      </c>
    </row>
    <row r="1646" spans="1:13">
      <c r="A1646" s="1">
        <f>HYPERLINK("http://www.twitter.com/NathanBLawrence/status/991875990296051713", "991875990296051713")</f>
        <v/>
      </c>
      <c r="B1646" s="2" t="n">
        <v>43223.12775462963</v>
      </c>
      <c r="C1646" t="n">
        <v>0</v>
      </c>
      <c r="D1646" t="n">
        <v>58</v>
      </c>
      <c r="E1646" t="s">
        <v>1656</v>
      </c>
      <c r="F1646">
        <f>HYPERLINK("http://pbs.twimg.com/media/DcNiogUX0As6NGE.jpg", "http://pbs.twimg.com/media/DcNiogUX0As6NGE.jpg")</f>
        <v/>
      </c>
      <c r="G1646" t="s"/>
      <c r="H1646" t="s"/>
      <c r="I1646" t="s"/>
      <c r="J1646" t="n">
        <v>-0.34</v>
      </c>
      <c r="K1646" t="n">
        <v>0.098</v>
      </c>
      <c r="L1646" t="n">
        <v>0.902</v>
      </c>
      <c r="M1646" t="n">
        <v>0</v>
      </c>
    </row>
    <row r="1647" spans="1:13">
      <c r="A1647" s="1">
        <f>HYPERLINK("http://www.twitter.com/NathanBLawrence/status/991875703090987008", "991875703090987008")</f>
        <v/>
      </c>
      <c r="B1647" s="2" t="n">
        <v>43223.12696759259</v>
      </c>
      <c r="C1647" t="n">
        <v>0</v>
      </c>
      <c r="D1647" t="n">
        <v>1126</v>
      </c>
      <c r="E1647" t="s">
        <v>1657</v>
      </c>
      <c r="F1647">
        <f>HYPERLINK("http://pbs.twimg.com/media/DcNdRzfWsAAGMYd.jpg", "http://pbs.twimg.com/media/DcNdRzfWsAAGMYd.jpg")</f>
        <v/>
      </c>
      <c r="G1647" t="s"/>
      <c r="H1647" t="s"/>
      <c r="I1647" t="s"/>
      <c r="J1647" t="n">
        <v>0</v>
      </c>
      <c r="K1647" t="n">
        <v>0</v>
      </c>
      <c r="L1647" t="n">
        <v>1</v>
      </c>
      <c r="M1647" t="n">
        <v>0</v>
      </c>
    </row>
    <row r="1648" spans="1:13">
      <c r="A1648" s="1">
        <f>HYPERLINK("http://www.twitter.com/NathanBLawrence/status/991875427554619392", "991875427554619392")</f>
        <v/>
      </c>
      <c r="B1648" s="2" t="n">
        <v>43223.1262037037</v>
      </c>
      <c r="C1648" t="n">
        <v>0</v>
      </c>
      <c r="D1648" t="n">
        <v>278</v>
      </c>
      <c r="E1648" t="s">
        <v>1658</v>
      </c>
      <c r="F1648">
        <f>HYPERLINK("http://pbs.twimg.com/media/DcOBvYVX4AQUiC5.jpg", "http://pbs.twimg.com/media/DcOBvYVX4AQUiC5.jpg")</f>
        <v/>
      </c>
      <c r="G1648" t="s"/>
      <c r="H1648" t="s"/>
      <c r="I1648" t="s"/>
      <c r="J1648" t="n">
        <v>0.4767</v>
      </c>
      <c r="K1648" t="n">
        <v>0</v>
      </c>
      <c r="L1648" t="n">
        <v>0.83</v>
      </c>
      <c r="M1648" t="n">
        <v>0.17</v>
      </c>
    </row>
    <row r="1649" spans="1:13">
      <c r="A1649" s="1">
        <f>HYPERLINK("http://www.twitter.com/NathanBLawrence/status/991875328787210240", "991875328787210240")</f>
        <v/>
      </c>
      <c r="B1649" s="2" t="n">
        <v>43223.1259375</v>
      </c>
      <c r="C1649" t="n">
        <v>0</v>
      </c>
      <c r="D1649" t="n">
        <v>6464</v>
      </c>
      <c r="E1649" t="s">
        <v>1659</v>
      </c>
      <c r="F1649" t="s"/>
      <c r="G1649" t="s"/>
      <c r="H1649" t="s"/>
      <c r="I1649" t="s"/>
      <c r="J1649" t="n">
        <v>0.6369</v>
      </c>
      <c r="K1649" t="n">
        <v>0</v>
      </c>
      <c r="L1649" t="n">
        <v>0.588</v>
      </c>
      <c r="M1649" t="n">
        <v>0.412</v>
      </c>
    </row>
    <row r="1650" spans="1:13">
      <c r="A1650" s="1">
        <f>HYPERLINK("http://www.twitter.com/NathanBLawrence/status/991875297749299200", "991875297749299200")</f>
        <v/>
      </c>
      <c r="B1650" s="2" t="n">
        <v>43223.12584490741</v>
      </c>
      <c r="C1650" t="n">
        <v>0</v>
      </c>
      <c r="D1650" t="n">
        <v>4434</v>
      </c>
      <c r="E1650" t="s">
        <v>1660</v>
      </c>
      <c r="F1650" t="s"/>
      <c r="G1650" t="s"/>
      <c r="H1650" t="s"/>
      <c r="I1650" t="s"/>
      <c r="J1650" t="n">
        <v>-0.4588</v>
      </c>
      <c r="K1650" t="n">
        <v>0.136</v>
      </c>
      <c r="L1650" t="n">
        <v>0.864</v>
      </c>
      <c r="M1650" t="n">
        <v>0</v>
      </c>
    </row>
    <row r="1651" spans="1:13">
      <c r="A1651" s="1">
        <f>HYPERLINK("http://www.twitter.com/NathanBLawrence/status/991875105838972928", "991875105838972928")</f>
        <v/>
      </c>
      <c r="B1651" s="2" t="n">
        <v>43223.12532407408</v>
      </c>
      <c r="C1651" t="n">
        <v>0</v>
      </c>
      <c r="D1651" t="n">
        <v>1</v>
      </c>
      <c r="E1651" t="s">
        <v>1661</v>
      </c>
      <c r="F1651" t="s"/>
      <c r="G1651" t="s"/>
      <c r="H1651" t="s"/>
      <c r="I1651" t="s"/>
      <c r="J1651" t="n">
        <v>0</v>
      </c>
      <c r="K1651" t="n">
        <v>0</v>
      </c>
      <c r="L1651" t="n">
        <v>1</v>
      </c>
      <c r="M1651" t="n">
        <v>0</v>
      </c>
    </row>
    <row r="1652" spans="1:13">
      <c r="A1652" s="1">
        <f>HYPERLINK("http://www.twitter.com/NathanBLawrence/status/991874952864325632", "991874952864325632")</f>
        <v/>
      </c>
      <c r="B1652" s="2" t="n">
        <v>43223.12489583333</v>
      </c>
      <c r="C1652" t="n">
        <v>0</v>
      </c>
      <c r="D1652" t="n">
        <v>2581</v>
      </c>
      <c r="E1652" t="s">
        <v>1662</v>
      </c>
      <c r="F1652" t="s"/>
      <c r="G1652" t="s"/>
      <c r="H1652" t="s"/>
      <c r="I1652" t="s"/>
      <c r="J1652" t="n">
        <v>0</v>
      </c>
      <c r="K1652" t="n">
        <v>0</v>
      </c>
      <c r="L1652" t="n">
        <v>1</v>
      </c>
      <c r="M1652" t="n">
        <v>0</v>
      </c>
    </row>
    <row r="1653" spans="1:13">
      <c r="A1653" s="1">
        <f>HYPERLINK("http://www.twitter.com/NathanBLawrence/status/991874847201374208", "991874847201374208")</f>
        <v/>
      </c>
      <c r="B1653" s="2" t="n">
        <v>43223.12460648148</v>
      </c>
      <c r="C1653" t="n">
        <v>0</v>
      </c>
      <c r="D1653" t="n">
        <v>1193</v>
      </c>
      <c r="E1653" t="s">
        <v>1663</v>
      </c>
      <c r="F1653" t="s"/>
      <c r="G1653" t="s"/>
      <c r="H1653" t="s"/>
      <c r="I1653" t="s"/>
      <c r="J1653" t="n">
        <v>0</v>
      </c>
      <c r="K1653" t="n">
        <v>0</v>
      </c>
      <c r="L1653" t="n">
        <v>1</v>
      </c>
      <c r="M1653" t="n">
        <v>0</v>
      </c>
    </row>
    <row r="1654" spans="1:13">
      <c r="A1654" s="1">
        <f>HYPERLINK("http://www.twitter.com/NathanBLawrence/status/991874610990755840", "991874610990755840")</f>
        <v/>
      </c>
      <c r="B1654" s="2" t="n">
        <v>43223.12395833333</v>
      </c>
      <c r="C1654" t="n">
        <v>0</v>
      </c>
      <c r="D1654" t="n">
        <v>893</v>
      </c>
      <c r="E1654" t="s">
        <v>1664</v>
      </c>
      <c r="F1654">
        <f>HYPERLINK("http://pbs.twimg.com/media/DcN1duhXkAMnc9n.jpg", "http://pbs.twimg.com/media/DcN1duhXkAMnc9n.jpg")</f>
        <v/>
      </c>
      <c r="G1654">
        <f>HYPERLINK("http://pbs.twimg.com/media/DcN1duPXUAMytIR.jpg", "http://pbs.twimg.com/media/DcN1duPXUAMytIR.jpg")</f>
        <v/>
      </c>
      <c r="H1654" t="s"/>
      <c r="I1654" t="s"/>
      <c r="J1654" t="n">
        <v>0.4215</v>
      </c>
      <c r="K1654" t="n">
        <v>0.078</v>
      </c>
      <c r="L1654" t="n">
        <v>0.775</v>
      </c>
      <c r="M1654" t="n">
        <v>0.147</v>
      </c>
    </row>
    <row r="1655" spans="1:13">
      <c r="A1655" s="1">
        <f>HYPERLINK("http://www.twitter.com/NathanBLawrence/status/991874508398125056", "991874508398125056")</f>
        <v/>
      </c>
      <c r="B1655" s="2" t="n">
        <v>43223.12366898148</v>
      </c>
      <c r="C1655" t="n">
        <v>0</v>
      </c>
      <c r="D1655" t="n">
        <v>1139</v>
      </c>
      <c r="E1655" t="s">
        <v>1665</v>
      </c>
      <c r="F1655" t="s"/>
      <c r="G1655" t="s"/>
      <c r="H1655" t="s"/>
      <c r="I1655" t="s"/>
      <c r="J1655" t="n">
        <v>0</v>
      </c>
      <c r="K1655" t="n">
        <v>0</v>
      </c>
      <c r="L1655" t="n">
        <v>1</v>
      </c>
      <c r="M1655" t="n">
        <v>0</v>
      </c>
    </row>
    <row r="1656" spans="1:13">
      <c r="A1656" s="1">
        <f>HYPERLINK("http://www.twitter.com/NathanBLawrence/status/991873727481626624", "991873727481626624")</f>
        <v/>
      </c>
      <c r="B1656" s="2" t="n">
        <v>43223.1215162037</v>
      </c>
      <c r="C1656" t="n">
        <v>0</v>
      </c>
      <c r="D1656" t="n">
        <v>0</v>
      </c>
      <c r="E1656" t="s">
        <v>1666</v>
      </c>
      <c r="F1656">
        <f>HYPERLINK("http://pbs.twimg.com/media/DcPXZQgU0AUYFtd.jpg", "http://pbs.twimg.com/media/DcPXZQgU0AUYFtd.jpg")</f>
        <v/>
      </c>
      <c r="G1656" t="s"/>
      <c r="H1656" t="s"/>
      <c r="I1656" t="s"/>
      <c r="J1656" t="n">
        <v>-0.9156</v>
      </c>
      <c r="K1656" t="n">
        <v>0.362</v>
      </c>
      <c r="L1656" t="n">
        <v>0.5659999999999999</v>
      </c>
      <c r="M1656" t="n">
        <v>0.07099999999999999</v>
      </c>
    </row>
    <row r="1657" spans="1:13">
      <c r="A1657" s="1">
        <f>HYPERLINK("http://www.twitter.com/NathanBLawrence/status/991872829250461696", "991872829250461696")</f>
        <v/>
      </c>
      <c r="B1657" s="2" t="n">
        <v>43223.11903935186</v>
      </c>
      <c r="C1657" t="n">
        <v>1</v>
      </c>
      <c r="D1657" t="n">
        <v>1</v>
      </c>
      <c r="E1657" t="s">
        <v>1667</v>
      </c>
      <c r="F1657" t="s"/>
      <c r="G1657" t="s"/>
      <c r="H1657" t="s"/>
      <c r="I1657" t="s"/>
      <c r="J1657" t="n">
        <v>0.9098000000000001</v>
      </c>
      <c r="K1657" t="n">
        <v>0</v>
      </c>
      <c r="L1657" t="n">
        <v>0.531</v>
      </c>
      <c r="M1657" t="n">
        <v>0.469</v>
      </c>
    </row>
    <row r="1658" spans="1:13">
      <c r="A1658" s="1">
        <f>HYPERLINK("http://www.twitter.com/NathanBLawrence/status/991871770566144000", "991871770566144000")</f>
        <v/>
      </c>
      <c r="B1658" s="2" t="n">
        <v>43223.11611111111</v>
      </c>
      <c r="C1658" t="n">
        <v>0</v>
      </c>
      <c r="D1658" t="n">
        <v>7</v>
      </c>
      <c r="E1658" t="s">
        <v>1668</v>
      </c>
      <c r="F1658">
        <f>HYPERLINK("http://pbs.twimg.com/media/DcNv0M2WkAA1A8P.jpg", "http://pbs.twimg.com/media/DcNv0M2WkAA1A8P.jpg")</f>
        <v/>
      </c>
      <c r="G1658" t="s"/>
      <c r="H1658" t="s"/>
      <c r="I1658" t="s"/>
      <c r="J1658" t="n">
        <v>0.4648</v>
      </c>
      <c r="K1658" t="n">
        <v>0</v>
      </c>
      <c r="L1658" t="n">
        <v>0.841</v>
      </c>
      <c r="M1658" t="n">
        <v>0.159</v>
      </c>
    </row>
    <row r="1659" spans="1:13">
      <c r="A1659" s="1">
        <f>HYPERLINK("http://www.twitter.com/NathanBLawrence/status/991871399999324160", "991871399999324160")</f>
        <v/>
      </c>
      <c r="B1659" s="2" t="n">
        <v>43223.11509259259</v>
      </c>
      <c r="C1659" t="n">
        <v>1</v>
      </c>
      <c r="D1659" t="n">
        <v>0</v>
      </c>
      <c r="E1659" t="s">
        <v>1669</v>
      </c>
      <c r="F1659" t="s"/>
      <c r="G1659" t="s"/>
      <c r="H1659" t="s"/>
      <c r="I1659" t="s"/>
      <c r="J1659" t="n">
        <v>-0.0258</v>
      </c>
      <c r="K1659" t="n">
        <v>0.08400000000000001</v>
      </c>
      <c r="L1659" t="n">
        <v>0.837</v>
      </c>
      <c r="M1659" t="n">
        <v>0.08</v>
      </c>
    </row>
    <row r="1660" spans="1:13">
      <c r="A1660" s="1">
        <f>HYPERLINK("http://www.twitter.com/NathanBLawrence/status/991870047885836288", "991870047885836288")</f>
        <v/>
      </c>
      <c r="B1660" s="2" t="n">
        <v>43223.11136574074</v>
      </c>
      <c r="C1660" t="n">
        <v>2</v>
      </c>
      <c r="D1660" t="n">
        <v>0</v>
      </c>
      <c r="E1660" t="s">
        <v>1670</v>
      </c>
      <c r="F1660" t="s"/>
      <c r="G1660" t="s"/>
      <c r="H1660" t="s"/>
      <c r="I1660" t="s"/>
      <c r="J1660" t="n">
        <v>-0.6289</v>
      </c>
      <c r="K1660" t="n">
        <v>0.158</v>
      </c>
      <c r="L1660" t="n">
        <v>0.842</v>
      </c>
      <c r="M1660" t="n">
        <v>0</v>
      </c>
    </row>
    <row r="1661" spans="1:13">
      <c r="A1661" s="1">
        <f>HYPERLINK("http://www.twitter.com/NathanBLawrence/status/991865320091533312", "991865320091533312")</f>
        <v/>
      </c>
      <c r="B1661" s="2" t="n">
        <v>43223.09831018518</v>
      </c>
      <c r="C1661" t="n">
        <v>3</v>
      </c>
      <c r="D1661" t="n">
        <v>3</v>
      </c>
      <c r="E1661" t="s">
        <v>1671</v>
      </c>
      <c r="F1661">
        <f>HYPERLINK("http://pbs.twimg.com/media/DcPQGdKVMAADJ2u.jpg", "http://pbs.twimg.com/media/DcPQGdKVMAADJ2u.jpg")</f>
        <v/>
      </c>
      <c r="G1661" t="s"/>
      <c r="H1661" t="s"/>
      <c r="I1661" t="s"/>
      <c r="J1661" t="n">
        <v>0</v>
      </c>
      <c r="K1661" t="n">
        <v>0</v>
      </c>
      <c r="L1661" t="n">
        <v>1</v>
      </c>
      <c r="M1661" t="n">
        <v>0</v>
      </c>
    </row>
    <row r="1662" spans="1:13">
      <c r="A1662" s="1">
        <f>HYPERLINK("http://www.twitter.com/NathanBLawrence/status/991864986854027269", "991864986854027269")</f>
        <v/>
      </c>
      <c r="B1662" s="2" t="n">
        <v>43223.09739583333</v>
      </c>
      <c r="C1662" t="n">
        <v>4</v>
      </c>
      <c r="D1662" t="n">
        <v>2</v>
      </c>
      <c r="E1662" t="s">
        <v>1672</v>
      </c>
      <c r="F1662" t="s"/>
      <c r="G1662" t="s"/>
      <c r="H1662" t="s"/>
      <c r="I1662" t="s"/>
      <c r="J1662" t="n">
        <v>-0.516</v>
      </c>
      <c r="K1662" t="n">
        <v>0.106</v>
      </c>
      <c r="L1662" t="n">
        <v>0.894</v>
      </c>
      <c r="M1662" t="n">
        <v>0</v>
      </c>
    </row>
    <row r="1663" spans="1:13">
      <c r="A1663" s="1">
        <f>HYPERLINK("http://www.twitter.com/NathanBLawrence/status/991863198734209025", "991863198734209025")</f>
        <v/>
      </c>
      <c r="B1663" s="2" t="n">
        <v>43223.09246527778</v>
      </c>
      <c r="C1663" t="n">
        <v>1</v>
      </c>
      <c r="D1663" t="n">
        <v>0</v>
      </c>
      <c r="E1663" t="s">
        <v>1673</v>
      </c>
      <c r="F1663" t="s"/>
      <c r="G1663" t="s"/>
      <c r="H1663" t="s"/>
      <c r="I1663" t="s"/>
      <c r="J1663" t="n">
        <v>0</v>
      </c>
      <c r="K1663" t="n">
        <v>0</v>
      </c>
      <c r="L1663" t="n">
        <v>1</v>
      </c>
      <c r="M1663" t="n">
        <v>0</v>
      </c>
    </row>
    <row r="1664" spans="1:13">
      <c r="A1664" s="1">
        <f>HYPERLINK("http://www.twitter.com/NathanBLawrence/status/991863197601644544", "991863197601644544")</f>
        <v/>
      </c>
      <c r="B1664" s="2" t="n">
        <v>43223.09245370371</v>
      </c>
      <c r="C1664" t="n">
        <v>2</v>
      </c>
      <c r="D1664" t="n">
        <v>1</v>
      </c>
      <c r="E1664" t="s">
        <v>1674</v>
      </c>
      <c r="F1664" t="s"/>
      <c r="G1664" t="s"/>
      <c r="H1664" t="s"/>
      <c r="I1664" t="s"/>
      <c r="J1664" t="n">
        <v>-0.8439</v>
      </c>
      <c r="K1664" t="n">
        <v>0.208</v>
      </c>
      <c r="L1664" t="n">
        <v>0.718</v>
      </c>
      <c r="M1664" t="n">
        <v>0.074</v>
      </c>
    </row>
    <row r="1665" spans="1:13">
      <c r="A1665" s="1">
        <f>HYPERLINK("http://www.twitter.com/NathanBLawrence/status/991862524545912832", "991862524545912832")</f>
        <v/>
      </c>
      <c r="B1665" s="2" t="n">
        <v>43223.09060185185</v>
      </c>
      <c r="C1665" t="n">
        <v>0</v>
      </c>
      <c r="D1665" t="n">
        <v>0</v>
      </c>
      <c r="E1665" t="s">
        <v>1675</v>
      </c>
      <c r="F1665">
        <f>HYPERLINK("http://pbs.twimg.com/media/DcPNhR6U0AAWiqz.jpg", "http://pbs.twimg.com/media/DcPNhR6U0AAWiqz.jpg")</f>
        <v/>
      </c>
      <c r="G1665" t="s"/>
      <c r="H1665" t="s"/>
      <c r="I1665" t="s"/>
      <c r="J1665" t="n">
        <v>0</v>
      </c>
      <c r="K1665" t="n">
        <v>0</v>
      </c>
      <c r="L1665" t="n">
        <v>1</v>
      </c>
      <c r="M1665" t="n">
        <v>0</v>
      </c>
    </row>
    <row r="1666" spans="1:13">
      <c r="A1666" s="1">
        <f>HYPERLINK("http://www.twitter.com/NathanBLawrence/status/991861663522418688", "991861663522418688")</f>
        <v/>
      </c>
      <c r="B1666" s="2" t="n">
        <v>43223.08822916666</v>
      </c>
      <c r="C1666" t="n">
        <v>0</v>
      </c>
      <c r="D1666" t="n">
        <v>0</v>
      </c>
      <c r="E1666" t="s">
        <v>1676</v>
      </c>
      <c r="F1666" t="s"/>
      <c r="G1666" t="s"/>
      <c r="H1666" t="s"/>
      <c r="I1666" t="s"/>
      <c r="J1666" t="n">
        <v>0</v>
      </c>
      <c r="K1666" t="n">
        <v>0</v>
      </c>
      <c r="L1666" t="n">
        <v>1</v>
      </c>
      <c r="M1666" t="n">
        <v>0</v>
      </c>
    </row>
    <row r="1667" spans="1:13">
      <c r="A1667" s="1">
        <f>HYPERLINK("http://www.twitter.com/NathanBLawrence/status/991859709828202496", "991859709828202496")</f>
        <v/>
      </c>
      <c r="B1667" s="2" t="n">
        <v>43223.08283564815</v>
      </c>
      <c r="C1667" t="n">
        <v>1</v>
      </c>
      <c r="D1667" t="n">
        <v>0</v>
      </c>
      <c r="E1667" t="s">
        <v>1677</v>
      </c>
      <c r="F1667" t="s"/>
      <c r="G1667" t="s"/>
      <c r="H1667" t="s"/>
      <c r="I1667" t="s"/>
      <c r="J1667" t="n">
        <v>-0.8439</v>
      </c>
      <c r="K1667" t="n">
        <v>0.204</v>
      </c>
      <c r="L1667" t="n">
        <v>0.724</v>
      </c>
      <c r="M1667" t="n">
        <v>0.07199999999999999</v>
      </c>
    </row>
    <row r="1668" spans="1:13">
      <c r="A1668" s="1">
        <f>HYPERLINK("http://www.twitter.com/NathanBLawrence/status/991856980946907136", "991856980946907136")</f>
        <v/>
      </c>
      <c r="B1668" s="2" t="n">
        <v>43223.07530092593</v>
      </c>
      <c r="C1668" t="n">
        <v>1</v>
      </c>
      <c r="D1668" t="n">
        <v>0</v>
      </c>
      <c r="E1668" t="s">
        <v>1678</v>
      </c>
      <c r="F1668" t="s"/>
      <c r="G1668" t="s"/>
      <c r="H1668" t="s"/>
      <c r="I1668" t="s"/>
      <c r="J1668" t="n">
        <v>-0.7328</v>
      </c>
      <c r="K1668" t="n">
        <v>0.134</v>
      </c>
      <c r="L1668" t="n">
        <v>0.866</v>
      </c>
      <c r="M1668" t="n">
        <v>0</v>
      </c>
    </row>
    <row r="1669" spans="1:13">
      <c r="A1669" s="1">
        <f>HYPERLINK("http://www.twitter.com/NathanBLawrence/status/991848599934853121", "991848599934853121")</f>
        <v/>
      </c>
      <c r="B1669" s="2" t="n">
        <v>43223.05217592593</v>
      </c>
      <c r="C1669" t="n">
        <v>0</v>
      </c>
      <c r="D1669" t="n">
        <v>1</v>
      </c>
      <c r="E1669" t="s">
        <v>1679</v>
      </c>
      <c r="F1669" t="s"/>
      <c r="G1669" t="s"/>
      <c r="H1669" t="s"/>
      <c r="I1669" t="s"/>
      <c r="J1669" t="n">
        <v>0.5719</v>
      </c>
      <c r="K1669" t="n">
        <v>0</v>
      </c>
      <c r="L1669" t="n">
        <v>0.802</v>
      </c>
      <c r="M1669" t="n">
        <v>0.198</v>
      </c>
    </row>
    <row r="1670" spans="1:13">
      <c r="A1670" s="1">
        <f>HYPERLINK("http://www.twitter.com/NathanBLawrence/status/991813757272666112", "991813757272666112")</f>
        <v/>
      </c>
      <c r="B1670" s="2" t="n">
        <v>43222.9560300926</v>
      </c>
      <c r="C1670" t="n">
        <v>0</v>
      </c>
      <c r="D1670" t="n">
        <v>172</v>
      </c>
      <c r="E1670" t="s">
        <v>1680</v>
      </c>
      <c r="F1670" t="s"/>
      <c r="G1670" t="s"/>
      <c r="H1670" t="s"/>
      <c r="I1670" t="s"/>
      <c r="J1670" t="n">
        <v>-0.296</v>
      </c>
      <c r="K1670" t="n">
        <v>0.214</v>
      </c>
      <c r="L1670" t="n">
        <v>0.649</v>
      </c>
      <c r="M1670" t="n">
        <v>0.136</v>
      </c>
    </row>
    <row r="1671" spans="1:13">
      <c r="A1671" s="1">
        <f>HYPERLINK("http://www.twitter.com/NathanBLawrence/status/991813742160564224", "991813742160564224")</f>
        <v/>
      </c>
      <c r="B1671" s="2" t="n">
        <v>43222.9559837963</v>
      </c>
      <c r="C1671" t="n">
        <v>0</v>
      </c>
      <c r="D1671" t="n">
        <v>798</v>
      </c>
      <c r="E1671" t="s">
        <v>1681</v>
      </c>
      <c r="F1671" t="s"/>
      <c r="G1671" t="s"/>
      <c r="H1671" t="s"/>
      <c r="I1671" t="s"/>
      <c r="J1671" t="n">
        <v>0.7783</v>
      </c>
      <c r="K1671" t="n">
        <v>0</v>
      </c>
      <c r="L1671" t="n">
        <v>0.595</v>
      </c>
      <c r="M1671" t="n">
        <v>0.405</v>
      </c>
    </row>
    <row r="1672" spans="1:13">
      <c r="A1672" s="1">
        <f>HYPERLINK("http://www.twitter.com/NathanBLawrence/status/991813664469479424", "991813664469479424")</f>
        <v/>
      </c>
      <c r="B1672" s="2" t="n">
        <v>43222.95577546296</v>
      </c>
      <c r="C1672" t="n">
        <v>0</v>
      </c>
      <c r="D1672" t="n">
        <v>37285</v>
      </c>
      <c r="E1672" t="s">
        <v>1682</v>
      </c>
      <c r="F1672" t="s"/>
      <c r="G1672" t="s"/>
      <c r="H1672" t="s"/>
      <c r="I1672" t="s"/>
      <c r="J1672" t="n">
        <v>0</v>
      </c>
      <c r="K1672" t="n">
        <v>0</v>
      </c>
      <c r="L1672" t="n">
        <v>1</v>
      </c>
      <c r="M1672" t="n">
        <v>0</v>
      </c>
    </row>
    <row r="1673" spans="1:13">
      <c r="A1673" s="1">
        <f>HYPERLINK("http://www.twitter.com/NathanBLawrence/status/991813626603356160", "991813626603356160")</f>
        <v/>
      </c>
      <c r="B1673" s="2" t="n">
        <v>43222.95567129629</v>
      </c>
      <c r="C1673" t="n">
        <v>0</v>
      </c>
      <c r="D1673" t="n">
        <v>2426</v>
      </c>
      <c r="E1673" t="s">
        <v>1683</v>
      </c>
      <c r="F1673">
        <f>HYPERLINK("http://pbs.twimg.com/media/DcNbhOTUwAAbcIV.jpg", "http://pbs.twimg.com/media/DcNbhOTUwAAbcIV.jpg")</f>
        <v/>
      </c>
      <c r="G1673" t="s"/>
      <c r="H1673" t="s"/>
      <c r="I1673" t="s"/>
      <c r="J1673" t="n">
        <v>0</v>
      </c>
      <c r="K1673" t="n">
        <v>0</v>
      </c>
      <c r="L1673" t="n">
        <v>1</v>
      </c>
      <c r="M1673" t="n">
        <v>0</v>
      </c>
    </row>
    <row r="1674" spans="1:13">
      <c r="A1674" s="1">
        <f>HYPERLINK("http://www.twitter.com/NathanBLawrence/status/991813554134110209", "991813554134110209")</f>
        <v/>
      </c>
      <c r="B1674" s="2" t="n">
        <v>43222.95546296296</v>
      </c>
      <c r="C1674" t="n">
        <v>0</v>
      </c>
      <c r="D1674" t="n">
        <v>6304</v>
      </c>
      <c r="E1674" t="s">
        <v>1684</v>
      </c>
      <c r="F1674" t="s"/>
      <c r="G1674" t="s"/>
      <c r="H1674" t="s"/>
      <c r="I1674" t="s"/>
      <c r="J1674" t="n">
        <v>0</v>
      </c>
      <c r="K1674" t="n">
        <v>0</v>
      </c>
      <c r="L1674" t="n">
        <v>1</v>
      </c>
      <c r="M1674" t="n">
        <v>0</v>
      </c>
    </row>
    <row r="1675" spans="1:13">
      <c r="A1675" s="1">
        <f>HYPERLINK("http://www.twitter.com/NathanBLawrence/status/991813442351714305", "991813442351714305")</f>
        <v/>
      </c>
      <c r="B1675" s="2" t="n">
        <v>43222.95516203704</v>
      </c>
      <c r="C1675" t="n">
        <v>0</v>
      </c>
      <c r="D1675" t="n">
        <v>1931</v>
      </c>
      <c r="E1675" t="s">
        <v>1685</v>
      </c>
      <c r="F1675" t="s"/>
      <c r="G1675" t="s"/>
      <c r="H1675" t="s"/>
      <c r="I1675" t="s"/>
      <c r="J1675" t="n">
        <v>0.2577</v>
      </c>
      <c r="K1675" t="n">
        <v>0.165</v>
      </c>
      <c r="L1675" t="n">
        <v>0.668</v>
      </c>
      <c r="M1675" t="n">
        <v>0.166</v>
      </c>
    </row>
    <row r="1676" spans="1:13">
      <c r="A1676" s="1">
        <f>HYPERLINK("http://www.twitter.com/NathanBLawrence/status/991812544946843648", "991812544946843648")</f>
        <v/>
      </c>
      <c r="B1676" s="2" t="n">
        <v>43222.95268518518</v>
      </c>
      <c r="C1676" t="n">
        <v>0</v>
      </c>
      <c r="D1676" t="n">
        <v>27184</v>
      </c>
      <c r="E1676" t="s">
        <v>1686</v>
      </c>
      <c r="F1676">
        <f>HYPERLINK("http://pbs.twimg.com/media/DcNW0qdVMAEaws0.jpg", "http://pbs.twimg.com/media/DcNW0qdVMAEaws0.jpg")</f>
        <v/>
      </c>
      <c r="G1676" t="s"/>
      <c r="H1676" t="s"/>
      <c r="I1676" t="s"/>
      <c r="J1676" t="n">
        <v>0.5719</v>
      </c>
      <c r="K1676" t="n">
        <v>0</v>
      </c>
      <c r="L1676" t="n">
        <v>0.619</v>
      </c>
      <c r="M1676" t="n">
        <v>0.381</v>
      </c>
    </row>
    <row r="1677" spans="1:13">
      <c r="A1677" s="1">
        <f>HYPERLINK("http://www.twitter.com/NathanBLawrence/status/991781122869624832", "991781122869624832")</f>
        <v/>
      </c>
      <c r="B1677" s="2" t="n">
        <v>43222.86597222222</v>
      </c>
      <c r="C1677" t="n">
        <v>0</v>
      </c>
      <c r="D1677" t="n">
        <v>19917</v>
      </c>
      <c r="E1677" t="s">
        <v>1687</v>
      </c>
      <c r="F1677" t="s"/>
      <c r="G1677" t="s"/>
      <c r="H1677" t="s"/>
      <c r="I1677" t="s"/>
      <c r="J1677" t="n">
        <v>0</v>
      </c>
      <c r="K1677" t="n">
        <v>0</v>
      </c>
      <c r="L1677" t="n">
        <v>1</v>
      </c>
      <c r="M1677" t="n">
        <v>0</v>
      </c>
    </row>
    <row r="1678" spans="1:13">
      <c r="A1678" s="1">
        <f>HYPERLINK("http://www.twitter.com/NathanBLawrence/status/991779181636632576", "991779181636632576")</f>
        <v/>
      </c>
      <c r="B1678" s="2" t="n">
        <v>43222.86061342592</v>
      </c>
      <c r="C1678" t="n">
        <v>0</v>
      </c>
      <c r="D1678" t="n">
        <v>3</v>
      </c>
      <c r="E1678" t="s">
        <v>1688</v>
      </c>
      <c r="F1678" t="s"/>
      <c r="G1678" t="s"/>
      <c r="H1678" t="s"/>
      <c r="I1678" t="s"/>
      <c r="J1678" t="n">
        <v>-0.0572</v>
      </c>
      <c r="K1678" t="n">
        <v>0.058</v>
      </c>
      <c r="L1678" t="n">
        <v>0.9419999999999999</v>
      </c>
      <c r="M1678" t="n">
        <v>0</v>
      </c>
    </row>
    <row r="1679" spans="1:13">
      <c r="A1679" s="1">
        <f>HYPERLINK("http://www.twitter.com/NathanBLawrence/status/991779094680383488", "991779094680383488")</f>
        <v/>
      </c>
      <c r="B1679" s="2" t="n">
        <v>43222.86038194445</v>
      </c>
      <c r="C1679" t="n">
        <v>0</v>
      </c>
      <c r="D1679" t="n">
        <v>15</v>
      </c>
      <c r="E1679" t="s">
        <v>1689</v>
      </c>
      <c r="F1679">
        <f>HYPERLINK("http://pbs.twimg.com/media/DcN1JPTW4AAcYeF.jpg", "http://pbs.twimg.com/media/DcN1JPTW4AAcYeF.jpg")</f>
        <v/>
      </c>
      <c r="G1679" t="s"/>
      <c r="H1679" t="s"/>
      <c r="I1679" t="s"/>
      <c r="J1679" t="n">
        <v>-0.1027</v>
      </c>
      <c r="K1679" t="n">
        <v>0.062</v>
      </c>
      <c r="L1679" t="n">
        <v>0.9379999999999999</v>
      </c>
      <c r="M1679" t="n">
        <v>0</v>
      </c>
    </row>
    <row r="1680" spans="1:13">
      <c r="A1680" s="1">
        <f>HYPERLINK("http://www.twitter.com/NathanBLawrence/status/991779000484708352", "991779000484708352")</f>
        <v/>
      </c>
      <c r="B1680" s="2" t="n">
        <v>43222.86011574074</v>
      </c>
      <c r="C1680" t="n">
        <v>0</v>
      </c>
      <c r="D1680" t="n">
        <v>6</v>
      </c>
      <c r="E1680" t="s">
        <v>1690</v>
      </c>
      <c r="F1680" t="s"/>
      <c r="G1680" t="s"/>
      <c r="H1680" t="s"/>
      <c r="I1680" t="s"/>
      <c r="J1680" t="n">
        <v>0</v>
      </c>
      <c r="K1680" t="n">
        <v>0</v>
      </c>
      <c r="L1680" t="n">
        <v>1</v>
      </c>
      <c r="M1680" t="n">
        <v>0</v>
      </c>
    </row>
    <row r="1681" spans="1:13">
      <c r="A1681" s="1">
        <f>HYPERLINK("http://www.twitter.com/NathanBLawrence/status/991777675558600704", "991777675558600704")</f>
        <v/>
      </c>
      <c r="B1681" s="2" t="n">
        <v>43222.85645833334</v>
      </c>
      <c r="C1681" t="n">
        <v>0</v>
      </c>
      <c r="D1681" t="n">
        <v>8</v>
      </c>
      <c r="E1681" t="s">
        <v>1691</v>
      </c>
      <c r="F1681" t="s"/>
      <c r="G1681" t="s"/>
      <c r="H1681" t="s"/>
      <c r="I1681" t="s"/>
      <c r="J1681" t="n">
        <v>0.3612</v>
      </c>
      <c r="K1681" t="n">
        <v>0</v>
      </c>
      <c r="L1681" t="n">
        <v>0.894</v>
      </c>
      <c r="M1681" t="n">
        <v>0.106</v>
      </c>
    </row>
    <row r="1682" spans="1:13">
      <c r="A1682" s="1">
        <f>HYPERLINK("http://www.twitter.com/NathanBLawrence/status/991777479470661632", "991777479470661632")</f>
        <v/>
      </c>
      <c r="B1682" s="2" t="n">
        <v>43222.85592592593</v>
      </c>
      <c r="C1682" t="n">
        <v>0</v>
      </c>
      <c r="D1682" t="n">
        <v>0</v>
      </c>
      <c r="E1682" t="s">
        <v>1692</v>
      </c>
      <c r="F1682" t="s"/>
      <c r="G1682" t="s"/>
      <c r="H1682" t="s"/>
      <c r="I1682" t="s"/>
      <c r="J1682" t="n">
        <v>-0.7783</v>
      </c>
      <c r="K1682" t="n">
        <v>0.382</v>
      </c>
      <c r="L1682" t="n">
        <v>0.618</v>
      </c>
      <c r="M1682" t="n">
        <v>0</v>
      </c>
    </row>
    <row r="1683" spans="1:13">
      <c r="A1683" s="1">
        <f>HYPERLINK("http://www.twitter.com/NathanBLawrence/status/991777271290589184", "991777271290589184")</f>
        <v/>
      </c>
      <c r="B1683" s="2" t="n">
        <v>43222.85534722222</v>
      </c>
      <c r="C1683" t="n">
        <v>0</v>
      </c>
      <c r="D1683" t="n">
        <v>7</v>
      </c>
      <c r="E1683" t="s">
        <v>1693</v>
      </c>
      <c r="F1683" t="s"/>
      <c r="G1683" t="s"/>
      <c r="H1683" t="s"/>
      <c r="I1683" t="s"/>
      <c r="J1683" t="n">
        <v>0.1027</v>
      </c>
      <c r="K1683" t="n">
        <v>0.058</v>
      </c>
      <c r="L1683" t="n">
        <v>0.868</v>
      </c>
      <c r="M1683" t="n">
        <v>0.074</v>
      </c>
    </row>
    <row r="1684" spans="1:13">
      <c r="A1684" s="1">
        <f>HYPERLINK("http://www.twitter.com/NathanBLawrence/status/991777188264329216", "991777188264329216")</f>
        <v/>
      </c>
      <c r="B1684" s="2" t="n">
        <v>43222.85511574074</v>
      </c>
      <c r="C1684" t="n">
        <v>0</v>
      </c>
      <c r="D1684" t="n">
        <v>8</v>
      </c>
      <c r="E1684" t="s">
        <v>1694</v>
      </c>
      <c r="F1684" t="s"/>
      <c r="G1684" t="s"/>
      <c r="H1684" t="s"/>
      <c r="I1684" t="s"/>
      <c r="J1684" t="n">
        <v>0.4019</v>
      </c>
      <c r="K1684" t="n">
        <v>0.08400000000000001</v>
      </c>
      <c r="L1684" t="n">
        <v>0.728</v>
      </c>
      <c r="M1684" t="n">
        <v>0.188</v>
      </c>
    </row>
    <row r="1685" spans="1:13">
      <c r="A1685" s="1">
        <f>HYPERLINK("http://www.twitter.com/NathanBLawrence/status/991776981590016000", "991776981590016000")</f>
        <v/>
      </c>
      <c r="B1685" s="2" t="n">
        <v>43222.85454861111</v>
      </c>
      <c r="C1685" t="n">
        <v>0</v>
      </c>
      <c r="D1685" t="n">
        <v>2</v>
      </c>
      <c r="E1685" t="s">
        <v>1695</v>
      </c>
      <c r="F1685" t="s"/>
      <c r="G1685" t="s"/>
      <c r="H1685" t="s"/>
      <c r="I1685" t="s"/>
      <c r="J1685" t="n">
        <v>-0.5709</v>
      </c>
      <c r="K1685" t="n">
        <v>0.15</v>
      </c>
      <c r="L1685" t="n">
        <v>0.85</v>
      </c>
      <c r="M1685" t="n">
        <v>0</v>
      </c>
    </row>
    <row r="1686" spans="1:13">
      <c r="A1686" s="1">
        <f>HYPERLINK("http://www.twitter.com/NathanBLawrence/status/991776815810134016", "991776815810134016")</f>
        <v/>
      </c>
      <c r="B1686" s="2" t="n">
        <v>43222.85408564815</v>
      </c>
      <c r="C1686" t="n">
        <v>0</v>
      </c>
      <c r="D1686" t="n">
        <v>2</v>
      </c>
      <c r="E1686" t="s">
        <v>1696</v>
      </c>
      <c r="F1686" t="s"/>
      <c r="G1686" t="s"/>
      <c r="H1686" t="s"/>
      <c r="I1686" t="s"/>
      <c r="J1686" t="n">
        <v>-0.3595</v>
      </c>
      <c r="K1686" t="n">
        <v>0.172</v>
      </c>
      <c r="L1686" t="n">
        <v>0.828</v>
      </c>
      <c r="M1686" t="n">
        <v>0</v>
      </c>
    </row>
    <row r="1687" spans="1:13">
      <c r="A1687" s="1">
        <f>HYPERLINK("http://www.twitter.com/NathanBLawrence/status/991776768456470529", "991776768456470529")</f>
        <v/>
      </c>
      <c r="B1687" s="2" t="n">
        <v>43222.85395833333</v>
      </c>
      <c r="C1687" t="n">
        <v>0</v>
      </c>
      <c r="D1687" t="n">
        <v>7</v>
      </c>
      <c r="E1687" t="s">
        <v>1697</v>
      </c>
      <c r="F1687">
        <f>HYPERLINK("http://pbs.twimg.com/media/DcMVo5xXUAAhmN6.jpg", "http://pbs.twimg.com/media/DcMVo5xXUAAhmN6.jpg")</f>
        <v/>
      </c>
      <c r="G1687" t="s"/>
      <c r="H1687" t="s"/>
      <c r="I1687" t="s"/>
      <c r="J1687" t="n">
        <v>-0.296</v>
      </c>
      <c r="K1687" t="n">
        <v>0.08400000000000001</v>
      </c>
      <c r="L1687" t="n">
        <v>0.916</v>
      </c>
      <c r="M1687" t="n">
        <v>0</v>
      </c>
    </row>
    <row r="1688" spans="1:13">
      <c r="A1688" s="1">
        <f>HYPERLINK("http://www.twitter.com/NathanBLawrence/status/991776336984211456", "991776336984211456")</f>
        <v/>
      </c>
      <c r="B1688" s="2" t="n">
        <v>43222.8527662037</v>
      </c>
      <c r="C1688" t="n">
        <v>0</v>
      </c>
      <c r="D1688" t="n">
        <v>0</v>
      </c>
      <c r="E1688" t="s">
        <v>1698</v>
      </c>
      <c r="F1688" t="s"/>
      <c r="G1688" t="s"/>
      <c r="H1688" t="s"/>
      <c r="I1688" t="s"/>
      <c r="J1688" t="n">
        <v>0.2584</v>
      </c>
      <c r="K1688" t="n">
        <v>0</v>
      </c>
      <c r="L1688" t="n">
        <v>0.944</v>
      </c>
      <c r="M1688" t="n">
        <v>0.056</v>
      </c>
    </row>
    <row r="1689" spans="1:13">
      <c r="A1689" s="1">
        <f>HYPERLINK("http://www.twitter.com/NathanBLawrence/status/991775052092719104", "991775052092719104")</f>
        <v/>
      </c>
      <c r="B1689" s="2" t="n">
        <v>43222.84922453704</v>
      </c>
      <c r="C1689" t="n">
        <v>0</v>
      </c>
      <c r="D1689" t="n">
        <v>3</v>
      </c>
      <c r="E1689" t="s">
        <v>1699</v>
      </c>
      <c r="F1689" t="s"/>
      <c r="G1689" t="s"/>
      <c r="H1689" t="s"/>
      <c r="I1689" t="s"/>
      <c r="J1689" t="n">
        <v>0</v>
      </c>
      <c r="K1689" t="n">
        <v>0</v>
      </c>
      <c r="L1689" t="n">
        <v>1</v>
      </c>
      <c r="M1689" t="n">
        <v>0</v>
      </c>
    </row>
    <row r="1690" spans="1:13">
      <c r="A1690" s="1">
        <f>HYPERLINK("http://www.twitter.com/NathanBLawrence/status/991774936166379520", "991774936166379520")</f>
        <v/>
      </c>
      <c r="B1690" s="2" t="n">
        <v>43222.84890046297</v>
      </c>
      <c r="C1690" t="n">
        <v>0</v>
      </c>
      <c r="D1690" t="n">
        <v>3</v>
      </c>
      <c r="E1690" t="s">
        <v>1700</v>
      </c>
      <c r="F1690" t="s"/>
      <c r="G1690" t="s"/>
      <c r="H1690" t="s"/>
      <c r="I1690" t="s"/>
      <c r="J1690" t="n">
        <v>0.7675999999999999</v>
      </c>
      <c r="K1690" t="n">
        <v>0.11</v>
      </c>
      <c r="L1690" t="n">
        <v>0.552</v>
      </c>
      <c r="M1690" t="n">
        <v>0.339</v>
      </c>
    </row>
    <row r="1691" spans="1:13">
      <c r="A1691" s="1">
        <f>HYPERLINK("http://www.twitter.com/NathanBLawrence/status/991774755421343744", "991774755421343744")</f>
        <v/>
      </c>
      <c r="B1691" s="2" t="n">
        <v>43222.84840277778</v>
      </c>
      <c r="C1691" t="n">
        <v>0</v>
      </c>
      <c r="D1691" t="n">
        <v>0</v>
      </c>
      <c r="E1691" t="s">
        <v>1701</v>
      </c>
      <c r="F1691" t="s"/>
      <c r="G1691" t="s"/>
      <c r="H1691" t="s"/>
      <c r="I1691" t="s"/>
      <c r="J1691" t="n">
        <v>-0.4137</v>
      </c>
      <c r="K1691" t="n">
        <v>0.079</v>
      </c>
      <c r="L1691" t="n">
        <v>0.921</v>
      </c>
      <c r="M1691" t="n">
        <v>0</v>
      </c>
    </row>
    <row r="1692" spans="1:13">
      <c r="A1692" s="1">
        <f>HYPERLINK("http://www.twitter.com/NathanBLawrence/status/991773667854991361", "991773667854991361")</f>
        <v/>
      </c>
      <c r="B1692" s="2" t="n">
        <v>43222.84540509259</v>
      </c>
      <c r="C1692" t="n">
        <v>0</v>
      </c>
      <c r="D1692" t="n">
        <v>10</v>
      </c>
      <c r="E1692" t="s">
        <v>1702</v>
      </c>
      <c r="F1692">
        <f>HYPERLINK("http://pbs.twimg.com/media/DcM81TZW4A0X0eZ.jpg", "http://pbs.twimg.com/media/DcM81TZW4A0X0eZ.jpg")</f>
        <v/>
      </c>
      <c r="G1692">
        <f>HYPERLINK("http://pbs.twimg.com/media/DcM82eGX4AA8JZD.jpg", "http://pbs.twimg.com/media/DcM82eGX4AA8JZD.jpg")</f>
        <v/>
      </c>
      <c r="H1692" t="s"/>
      <c r="I1692" t="s"/>
      <c r="J1692" t="n">
        <v>-0.3818</v>
      </c>
      <c r="K1692" t="n">
        <v>0.178</v>
      </c>
      <c r="L1692" t="n">
        <v>0.822</v>
      </c>
      <c r="M1692" t="n">
        <v>0</v>
      </c>
    </row>
    <row r="1693" spans="1:13">
      <c r="A1693" s="1">
        <f>HYPERLINK("http://www.twitter.com/NathanBLawrence/status/991773610661441537", "991773610661441537")</f>
        <v/>
      </c>
      <c r="B1693" s="2" t="n">
        <v>43222.84524305556</v>
      </c>
      <c r="C1693" t="n">
        <v>0</v>
      </c>
      <c r="D1693" t="n">
        <v>3</v>
      </c>
      <c r="E1693" t="s">
        <v>1703</v>
      </c>
      <c r="F1693" t="s"/>
      <c r="G1693" t="s"/>
      <c r="H1693" t="s"/>
      <c r="I1693" t="s"/>
      <c r="J1693" t="n">
        <v>0</v>
      </c>
      <c r="K1693" t="n">
        <v>0</v>
      </c>
      <c r="L1693" t="n">
        <v>1</v>
      </c>
      <c r="M1693" t="n">
        <v>0</v>
      </c>
    </row>
    <row r="1694" spans="1:13">
      <c r="A1694" s="1">
        <f>HYPERLINK("http://www.twitter.com/NathanBLawrence/status/991773564410855424", "991773564410855424")</f>
        <v/>
      </c>
      <c r="B1694" s="2" t="n">
        <v>43222.84511574074</v>
      </c>
      <c r="C1694" t="n">
        <v>0</v>
      </c>
      <c r="D1694" t="n">
        <v>11</v>
      </c>
      <c r="E1694" t="s">
        <v>1703</v>
      </c>
      <c r="F1694" t="s"/>
      <c r="G1694" t="s"/>
      <c r="H1694" t="s"/>
      <c r="I1694" t="s"/>
      <c r="J1694" t="n">
        <v>0</v>
      </c>
      <c r="K1694" t="n">
        <v>0</v>
      </c>
      <c r="L1694" t="n">
        <v>1</v>
      </c>
      <c r="M1694" t="n">
        <v>0</v>
      </c>
    </row>
    <row r="1695" spans="1:13">
      <c r="A1695" s="1">
        <f>HYPERLINK("http://www.twitter.com/NathanBLawrence/status/991773504570769408", "991773504570769408")</f>
        <v/>
      </c>
      <c r="B1695" s="2" t="n">
        <v>43222.8449537037</v>
      </c>
      <c r="C1695" t="n">
        <v>0</v>
      </c>
      <c r="D1695" t="n">
        <v>16</v>
      </c>
      <c r="E1695" t="s">
        <v>1703</v>
      </c>
      <c r="F1695" t="s"/>
      <c r="G1695" t="s"/>
      <c r="H1695" t="s"/>
      <c r="I1695" t="s"/>
      <c r="J1695" t="n">
        <v>0</v>
      </c>
      <c r="K1695" t="n">
        <v>0</v>
      </c>
      <c r="L1695" t="n">
        <v>1</v>
      </c>
      <c r="M1695" t="n">
        <v>0</v>
      </c>
    </row>
    <row r="1696" spans="1:13">
      <c r="A1696" s="1">
        <f>HYPERLINK("http://www.twitter.com/NathanBLawrence/status/991773432877477888", "991773432877477888")</f>
        <v/>
      </c>
      <c r="B1696" s="2" t="n">
        <v>43222.84475694445</v>
      </c>
      <c r="C1696" t="n">
        <v>0</v>
      </c>
      <c r="D1696" t="n">
        <v>12</v>
      </c>
      <c r="E1696" t="s">
        <v>1703</v>
      </c>
      <c r="F1696" t="s"/>
      <c r="G1696" t="s"/>
      <c r="H1696" t="s"/>
      <c r="I1696" t="s"/>
      <c r="J1696" t="n">
        <v>0</v>
      </c>
      <c r="K1696" t="n">
        <v>0</v>
      </c>
      <c r="L1696" t="n">
        <v>1</v>
      </c>
      <c r="M1696" t="n">
        <v>0</v>
      </c>
    </row>
    <row r="1697" spans="1:13">
      <c r="A1697" s="1">
        <f>HYPERLINK("http://www.twitter.com/NathanBLawrence/status/991773376527020032", "991773376527020032")</f>
        <v/>
      </c>
      <c r="B1697" s="2" t="n">
        <v>43222.84459490741</v>
      </c>
      <c r="C1697" t="n">
        <v>0</v>
      </c>
      <c r="D1697" t="n">
        <v>14</v>
      </c>
      <c r="E1697" t="s">
        <v>1704</v>
      </c>
      <c r="F1697">
        <f>HYPERLINK("http://pbs.twimg.com/media/DcM6E7fV4AAHmBA.jpg", "http://pbs.twimg.com/media/DcM6E7fV4AAHmBA.jpg")</f>
        <v/>
      </c>
      <c r="G1697">
        <f>HYPERLINK("http://pbs.twimg.com/media/DcM6E7hVAAA_Pvj.jpg", "http://pbs.twimg.com/media/DcM6E7hVAAA_Pvj.jpg")</f>
        <v/>
      </c>
      <c r="H1697">
        <f>HYPERLINK("http://pbs.twimg.com/media/DcM6E7gU0AASsJ3.jpg", "http://pbs.twimg.com/media/DcM6E7gU0AASsJ3.jpg")</f>
        <v/>
      </c>
      <c r="I1697">
        <f>HYPERLINK("http://pbs.twimg.com/media/DcM6E7iVMAAj9vu.jpg", "http://pbs.twimg.com/media/DcM6E7iVMAAj9vu.jpg")</f>
        <v/>
      </c>
      <c r="J1697" t="n">
        <v>-0.8038</v>
      </c>
      <c r="K1697" t="n">
        <v>0.256</v>
      </c>
      <c r="L1697" t="n">
        <v>0.744</v>
      </c>
      <c r="M1697" t="n">
        <v>0</v>
      </c>
    </row>
    <row r="1698" spans="1:13">
      <c r="A1698" s="1">
        <f>HYPERLINK("http://www.twitter.com/NathanBLawrence/status/991773057881595904", "991773057881595904")</f>
        <v/>
      </c>
      <c r="B1698" s="2" t="n">
        <v>43222.84371527778</v>
      </c>
      <c r="C1698" t="n">
        <v>0</v>
      </c>
      <c r="D1698" t="n">
        <v>10</v>
      </c>
      <c r="E1698" t="s">
        <v>1705</v>
      </c>
      <c r="F1698" t="s"/>
      <c r="G1698" t="s"/>
      <c r="H1698" t="s"/>
      <c r="I1698" t="s"/>
      <c r="J1698" t="n">
        <v>0</v>
      </c>
      <c r="K1698" t="n">
        <v>0</v>
      </c>
      <c r="L1698" t="n">
        <v>1</v>
      </c>
      <c r="M1698" t="n">
        <v>0</v>
      </c>
    </row>
    <row r="1699" spans="1:13">
      <c r="A1699" s="1">
        <f>HYPERLINK("http://www.twitter.com/NathanBLawrence/status/991772998649593856", "991772998649593856")</f>
        <v/>
      </c>
      <c r="B1699" s="2" t="n">
        <v>43222.84355324074</v>
      </c>
      <c r="C1699" t="n">
        <v>0</v>
      </c>
      <c r="D1699" t="n">
        <v>14</v>
      </c>
      <c r="E1699" t="s">
        <v>1706</v>
      </c>
      <c r="F1699" t="s"/>
      <c r="G1699" t="s"/>
      <c r="H1699" t="s"/>
      <c r="I1699" t="s"/>
      <c r="J1699" t="n">
        <v>0</v>
      </c>
      <c r="K1699" t="n">
        <v>0</v>
      </c>
      <c r="L1699" t="n">
        <v>1</v>
      </c>
      <c r="M1699" t="n">
        <v>0</v>
      </c>
    </row>
    <row r="1700" spans="1:13">
      <c r="A1700" s="1">
        <f>HYPERLINK("http://www.twitter.com/NathanBLawrence/status/991772692813529088", "991772692813529088")</f>
        <v/>
      </c>
      <c r="B1700" s="2" t="n">
        <v>43222.84270833333</v>
      </c>
      <c r="C1700" t="n">
        <v>0</v>
      </c>
      <c r="D1700" t="n">
        <v>6</v>
      </c>
      <c r="E1700" t="s">
        <v>1707</v>
      </c>
      <c r="F1700" t="s"/>
      <c r="G1700" t="s"/>
      <c r="H1700" t="s"/>
      <c r="I1700" t="s"/>
      <c r="J1700" t="n">
        <v>0</v>
      </c>
      <c r="K1700" t="n">
        <v>0</v>
      </c>
      <c r="L1700" t="n">
        <v>1</v>
      </c>
      <c r="M1700" t="n">
        <v>0</v>
      </c>
    </row>
    <row r="1701" spans="1:13">
      <c r="A1701" s="1">
        <f>HYPERLINK("http://www.twitter.com/NathanBLawrence/status/991772527511785472", "991772527511785472")</f>
        <v/>
      </c>
      <c r="B1701" s="2" t="n">
        <v>43222.84225694444</v>
      </c>
      <c r="C1701" t="n">
        <v>1</v>
      </c>
      <c r="D1701" t="n">
        <v>0</v>
      </c>
      <c r="E1701" t="s">
        <v>1708</v>
      </c>
      <c r="F1701">
        <f>HYPERLINK("http://pbs.twimg.com/media/DcN70GLUQAAojiV.jpg", "http://pbs.twimg.com/media/DcN70GLUQAAojiV.jpg")</f>
        <v/>
      </c>
      <c r="G1701" t="s"/>
      <c r="H1701" t="s"/>
      <c r="I1701" t="s"/>
      <c r="J1701" t="n">
        <v>0</v>
      </c>
      <c r="K1701" t="n">
        <v>0</v>
      </c>
      <c r="L1701" t="n">
        <v>1</v>
      </c>
      <c r="M1701" t="n">
        <v>0</v>
      </c>
    </row>
    <row r="1702" spans="1:13">
      <c r="A1702" s="1">
        <f>HYPERLINK("http://www.twitter.com/NathanBLawrence/status/991770552112041985", "991770552112041985")</f>
        <v/>
      </c>
      <c r="B1702" s="2" t="n">
        <v>43222.83680555555</v>
      </c>
      <c r="C1702" t="n">
        <v>0</v>
      </c>
      <c r="D1702" t="n">
        <v>1</v>
      </c>
      <c r="E1702" t="s">
        <v>1709</v>
      </c>
      <c r="F1702" t="s"/>
      <c r="G1702" t="s"/>
      <c r="H1702" t="s"/>
      <c r="I1702" t="s"/>
      <c r="J1702" t="n">
        <v>0</v>
      </c>
      <c r="K1702" t="n">
        <v>0</v>
      </c>
      <c r="L1702" t="n">
        <v>1</v>
      </c>
      <c r="M1702" t="n">
        <v>0</v>
      </c>
    </row>
    <row r="1703" spans="1:13">
      <c r="A1703" s="1">
        <f>HYPERLINK("http://www.twitter.com/NathanBLawrence/status/991770117158551552", "991770117158551552")</f>
        <v/>
      </c>
      <c r="B1703" s="2" t="n">
        <v>43222.83560185185</v>
      </c>
      <c r="C1703" t="n">
        <v>0</v>
      </c>
      <c r="D1703" t="n">
        <v>0</v>
      </c>
      <c r="E1703" t="s">
        <v>1710</v>
      </c>
      <c r="F1703" t="s"/>
      <c r="G1703" t="s"/>
      <c r="H1703" t="s"/>
      <c r="I1703" t="s"/>
      <c r="J1703" t="n">
        <v>0.3182</v>
      </c>
      <c r="K1703" t="n">
        <v>0</v>
      </c>
      <c r="L1703" t="n">
        <v>0.723</v>
      </c>
      <c r="M1703" t="n">
        <v>0.277</v>
      </c>
    </row>
    <row r="1704" spans="1:13">
      <c r="A1704" s="1">
        <f>HYPERLINK("http://www.twitter.com/NathanBLawrence/status/991769800626991105", "991769800626991105")</f>
        <v/>
      </c>
      <c r="B1704" s="2" t="n">
        <v>43222.8347337963</v>
      </c>
      <c r="C1704" t="n">
        <v>0</v>
      </c>
      <c r="D1704" t="n">
        <v>3</v>
      </c>
      <c r="E1704" t="s">
        <v>1711</v>
      </c>
      <c r="F1704" t="s"/>
      <c r="G1704" t="s"/>
      <c r="H1704" t="s"/>
      <c r="I1704" t="s"/>
      <c r="J1704" t="n">
        <v>-0.296</v>
      </c>
      <c r="K1704" t="n">
        <v>0.109</v>
      </c>
      <c r="L1704" t="n">
        <v>0.891</v>
      </c>
      <c r="M1704" t="n">
        <v>0</v>
      </c>
    </row>
    <row r="1705" spans="1:13">
      <c r="A1705" s="1">
        <f>HYPERLINK("http://www.twitter.com/NathanBLawrence/status/991769738454843392", "991769738454843392")</f>
        <v/>
      </c>
      <c r="B1705" s="2" t="n">
        <v>43222.83456018518</v>
      </c>
      <c r="C1705" t="n">
        <v>0</v>
      </c>
      <c r="D1705" t="n">
        <v>7</v>
      </c>
      <c r="E1705" t="s">
        <v>1712</v>
      </c>
      <c r="F1705">
        <f>HYPERLINK("http://pbs.twimg.com/media/DcNKoAkXcAEPK-1.jpg", "http://pbs.twimg.com/media/DcNKoAkXcAEPK-1.jpg")</f>
        <v/>
      </c>
      <c r="G1705">
        <f>HYPERLINK("http://pbs.twimg.com/media/DcNKo-wWAAEFM1V.jpg", "http://pbs.twimg.com/media/DcNKo-wWAAEFM1V.jpg")</f>
        <v/>
      </c>
      <c r="H1705">
        <f>HYPERLINK("http://pbs.twimg.com/media/DcNKp_AWkAIANO1.jpg", "http://pbs.twimg.com/media/DcNKp_AWkAIANO1.jpg")</f>
        <v/>
      </c>
      <c r="I1705" t="s"/>
      <c r="J1705" t="n">
        <v>0.4548</v>
      </c>
      <c r="K1705" t="n">
        <v>0.05</v>
      </c>
      <c r="L1705" t="n">
        <v>0.819</v>
      </c>
      <c r="M1705" t="n">
        <v>0.131</v>
      </c>
    </row>
    <row r="1706" spans="1:13">
      <c r="A1706" s="1">
        <f>HYPERLINK("http://www.twitter.com/NathanBLawrence/status/991769342864850944", "991769342864850944")</f>
        <v/>
      </c>
      <c r="B1706" s="2" t="n">
        <v>43222.83347222222</v>
      </c>
      <c r="C1706" t="n">
        <v>0</v>
      </c>
      <c r="D1706" t="n">
        <v>7</v>
      </c>
      <c r="E1706" t="s">
        <v>1713</v>
      </c>
      <c r="F1706" t="s"/>
      <c r="G1706" t="s"/>
      <c r="H1706" t="s"/>
      <c r="I1706" t="s"/>
      <c r="J1706" t="n">
        <v>0</v>
      </c>
      <c r="K1706" t="n">
        <v>0</v>
      </c>
      <c r="L1706" t="n">
        <v>1</v>
      </c>
      <c r="M1706" t="n">
        <v>0</v>
      </c>
    </row>
    <row r="1707" spans="1:13">
      <c r="A1707" s="1">
        <f>HYPERLINK("http://www.twitter.com/NathanBLawrence/status/991768178098298880", "991768178098298880")</f>
        <v/>
      </c>
      <c r="B1707" s="2" t="n">
        <v>43222.83025462963</v>
      </c>
      <c r="C1707" t="n">
        <v>0</v>
      </c>
      <c r="D1707" t="n">
        <v>1</v>
      </c>
      <c r="E1707" t="s">
        <v>1714</v>
      </c>
      <c r="F1707" t="s"/>
      <c r="G1707" t="s"/>
      <c r="H1707" t="s"/>
      <c r="I1707" t="s"/>
      <c r="J1707" t="n">
        <v>0</v>
      </c>
      <c r="K1707" t="n">
        <v>0</v>
      </c>
      <c r="L1707" t="n">
        <v>1</v>
      </c>
      <c r="M1707" t="n">
        <v>0</v>
      </c>
    </row>
    <row r="1708" spans="1:13">
      <c r="A1708" s="1">
        <f>HYPERLINK("http://www.twitter.com/NathanBLawrence/status/991767958459318272", "991767958459318272")</f>
        <v/>
      </c>
      <c r="B1708" s="2" t="n">
        <v>43222.82965277778</v>
      </c>
      <c r="C1708" t="n">
        <v>0</v>
      </c>
      <c r="D1708" t="n">
        <v>106</v>
      </c>
      <c r="E1708" t="s">
        <v>1715</v>
      </c>
      <c r="F1708" t="s"/>
      <c r="G1708" t="s"/>
      <c r="H1708" t="s"/>
      <c r="I1708" t="s"/>
      <c r="J1708" t="n">
        <v>0.4404</v>
      </c>
      <c r="K1708" t="n">
        <v>0</v>
      </c>
      <c r="L1708" t="n">
        <v>0.879</v>
      </c>
      <c r="M1708" t="n">
        <v>0.121</v>
      </c>
    </row>
    <row r="1709" spans="1:13">
      <c r="A1709" s="1">
        <f>HYPERLINK("http://www.twitter.com/NathanBLawrence/status/991767796735332353", "991767796735332353")</f>
        <v/>
      </c>
      <c r="B1709" s="2" t="n">
        <v>43222.82920138889</v>
      </c>
      <c r="C1709" t="n">
        <v>0</v>
      </c>
      <c r="D1709" t="n">
        <v>202</v>
      </c>
      <c r="E1709" t="s">
        <v>1716</v>
      </c>
      <c r="F1709" t="s"/>
      <c r="G1709" t="s"/>
      <c r="H1709" t="s"/>
      <c r="I1709" t="s"/>
      <c r="J1709" t="n">
        <v>-0.6966</v>
      </c>
      <c r="K1709" t="n">
        <v>0.2</v>
      </c>
      <c r="L1709" t="n">
        <v>0.8</v>
      </c>
      <c r="M1709" t="n">
        <v>0</v>
      </c>
    </row>
    <row r="1710" spans="1:13">
      <c r="A1710" s="1">
        <f>HYPERLINK("http://www.twitter.com/NathanBLawrence/status/991767740481351680", "991767740481351680")</f>
        <v/>
      </c>
      <c r="B1710" s="2" t="n">
        <v>43222.82905092592</v>
      </c>
      <c r="C1710" t="n">
        <v>0</v>
      </c>
      <c r="D1710" t="n">
        <v>1527</v>
      </c>
      <c r="E1710" t="s">
        <v>1717</v>
      </c>
      <c r="F1710" t="s"/>
      <c r="G1710" t="s"/>
      <c r="H1710" t="s"/>
      <c r="I1710" t="s"/>
      <c r="J1710" t="n">
        <v>-0.4019</v>
      </c>
      <c r="K1710" t="n">
        <v>0.117</v>
      </c>
      <c r="L1710" t="n">
        <v>0.792</v>
      </c>
      <c r="M1710" t="n">
        <v>0.091</v>
      </c>
    </row>
    <row r="1711" spans="1:13">
      <c r="A1711" s="1">
        <f>HYPERLINK("http://www.twitter.com/NathanBLawrence/status/991767564257652736", "991767564257652736")</f>
        <v/>
      </c>
      <c r="B1711" s="2" t="n">
        <v>43222.82856481482</v>
      </c>
      <c r="C1711" t="n">
        <v>0</v>
      </c>
      <c r="D1711" t="n">
        <v>391</v>
      </c>
      <c r="E1711" t="s">
        <v>1718</v>
      </c>
      <c r="F1711" t="s"/>
      <c r="G1711" t="s"/>
      <c r="H1711" t="s"/>
      <c r="I1711" t="s"/>
      <c r="J1711" t="n">
        <v>0.5859</v>
      </c>
      <c r="K1711" t="n">
        <v>0.081</v>
      </c>
      <c r="L1711" t="n">
        <v>0.704</v>
      </c>
      <c r="M1711" t="n">
        <v>0.215</v>
      </c>
    </row>
    <row r="1712" spans="1:13">
      <c r="A1712" s="1">
        <f>HYPERLINK("http://www.twitter.com/NathanBLawrence/status/991767453087686656", "991767453087686656")</f>
        <v/>
      </c>
      <c r="B1712" s="2" t="n">
        <v>43222.82825231482</v>
      </c>
      <c r="C1712" t="n">
        <v>0</v>
      </c>
      <c r="D1712" t="n">
        <v>133</v>
      </c>
      <c r="E1712" t="s">
        <v>1719</v>
      </c>
      <c r="F1712" t="s"/>
      <c r="G1712" t="s"/>
      <c r="H1712" t="s"/>
      <c r="I1712" t="s"/>
      <c r="J1712" t="n">
        <v>0.627</v>
      </c>
      <c r="K1712" t="n">
        <v>0</v>
      </c>
      <c r="L1712" t="n">
        <v>0.745</v>
      </c>
      <c r="M1712" t="n">
        <v>0.255</v>
      </c>
    </row>
    <row r="1713" spans="1:13">
      <c r="A1713" s="1">
        <f>HYPERLINK("http://www.twitter.com/NathanBLawrence/status/991767370510225408", "991767370510225408")</f>
        <v/>
      </c>
      <c r="B1713" s="2" t="n">
        <v>43222.82802083333</v>
      </c>
      <c r="C1713" t="n">
        <v>0</v>
      </c>
      <c r="D1713" t="n">
        <v>1233</v>
      </c>
      <c r="E1713" t="s">
        <v>1720</v>
      </c>
      <c r="F1713" t="s"/>
      <c r="G1713" t="s"/>
      <c r="H1713" t="s"/>
      <c r="I1713" t="s"/>
      <c r="J1713" t="n">
        <v>0.1531</v>
      </c>
      <c r="K1713" t="n">
        <v>0.091</v>
      </c>
      <c r="L1713" t="n">
        <v>0.794</v>
      </c>
      <c r="M1713" t="n">
        <v>0.115</v>
      </c>
    </row>
    <row r="1714" spans="1:13">
      <c r="A1714" s="1">
        <f>HYPERLINK("http://www.twitter.com/NathanBLawrence/status/991767329095602176", "991767329095602176")</f>
        <v/>
      </c>
      <c r="B1714" s="2" t="n">
        <v>43222.82791666667</v>
      </c>
      <c r="C1714" t="n">
        <v>0</v>
      </c>
      <c r="D1714" t="n">
        <v>222</v>
      </c>
      <c r="E1714" t="s">
        <v>1721</v>
      </c>
      <c r="F1714" t="s"/>
      <c r="G1714" t="s"/>
      <c r="H1714" t="s"/>
      <c r="I1714" t="s"/>
      <c r="J1714" t="n">
        <v>0</v>
      </c>
      <c r="K1714" t="n">
        <v>0</v>
      </c>
      <c r="L1714" t="n">
        <v>1</v>
      </c>
      <c r="M1714" t="n">
        <v>0</v>
      </c>
    </row>
    <row r="1715" spans="1:13">
      <c r="A1715" s="1">
        <f>HYPERLINK("http://www.twitter.com/NathanBLawrence/status/991767214809231360", "991767214809231360")</f>
        <v/>
      </c>
      <c r="B1715" s="2" t="n">
        <v>43222.82759259259</v>
      </c>
      <c r="C1715" t="n">
        <v>0</v>
      </c>
      <c r="D1715" t="n">
        <v>0</v>
      </c>
      <c r="E1715" t="s">
        <v>1722</v>
      </c>
      <c r="F1715" t="s"/>
      <c r="G1715" t="s"/>
      <c r="H1715" t="s"/>
      <c r="I1715" t="s"/>
      <c r="J1715" t="n">
        <v>-0.9573</v>
      </c>
      <c r="K1715" t="n">
        <v>0.445</v>
      </c>
      <c r="L1715" t="n">
        <v>0.555</v>
      </c>
      <c r="M1715" t="n">
        <v>0</v>
      </c>
    </row>
    <row r="1716" spans="1:13">
      <c r="A1716" s="1">
        <f>HYPERLINK("http://www.twitter.com/NathanBLawrence/status/991765646412206080", "991765646412206080")</f>
        <v/>
      </c>
      <c r="B1716" s="2" t="n">
        <v>43222.82326388889</v>
      </c>
      <c r="C1716" t="n">
        <v>0</v>
      </c>
      <c r="D1716" t="n">
        <v>610</v>
      </c>
      <c r="E1716" t="s">
        <v>1723</v>
      </c>
      <c r="F1716" t="s"/>
      <c r="G1716" t="s"/>
      <c r="H1716" t="s"/>
      <c r="I1716" t="s"/>
      <c r="J1716" t="n">
        <v>0</v>
      </c>
      <c r="K1716" t="n">
        <v>0</v>
      </c>
      <c r="L1716" t="n">
        <v>1</v>
      </c>
      <c r="M1716" t="n">
        <v>0</v>
      </c>
    </row>
    <row r="1717" spans="1:13">
      <c r="A1717" s="1">
        <f>HYPERLINK("http://www.twitter.com/NathanBLawrence/status/991765575096385536", "991765575096385536")</f>
        <v/>
      </c>
      <c r="B1717" s="2" t="n">
        <v>43222.82306712963</v>
      </c>
      <c r="C1717" t="n">
        <v>0</v>
      </c>
      <c r="D1717" t="n">
        <v>472</v>
      </c>
      <c r="E1717" t="s">
        <v>1724</v>
      </c>
      <c r="F1717" t="s"/>
      <c r="G1717" t="s"/>
      <c r="H1717" t="s"/>
      <c r="I1717" t="s"/>
      <c r="J1717" t="n">
        <v>0.3612</v>
      </c>
      <c r="K1717" t="n">
        <v>0</v>
      </c>
      <c r="L1717" t="n">
        <v>0.902</v>
      </c>
      <c r="M1717" t="n">
        <v>0.098</v>
      </c>
    </row>
    <row r="1718" spans="1:13">
      <c r="A1718" s="1">
        <f>HYPERLINK("http://www.twitter.com/NathanBLawrence/status/991765484809764864", "991765484809764864")</f>
        <v/>
      </c>
      <c r="B1718" s="2" t="n">
        <v>43222.82282407407</v>
      </c>
      <c r="C1718" t="n">
        <v>0</v>
      </c>
      <c r="D1718" t="n">
        <v>106</v>
      </c>
      <c r="E1718" t="s">
        <v>1725</v>
      </c>
      <c r="F1718" t="s"/>
      <c r="G1718" t="s"/>
      <c r="H1718" t="s"/>
      <c r="I1718" t="s"/>
      <c r="J1718" t="n">
        <v>-0.3595</v>
      </c>
      <c r="K1718" t="n">
        <v>0.217</v>
      </c>
      <c r="L1718" t="n">
        <v>0.783</v>
      </c>
      <c r="M1718" t="n">
        <v>0</v>
      </c>
    </row>
    <row r="1719" spans="1:13">
      <c r="A1719" s="1">
        <f>HYPERLINK("http://www.twitter.com/NathanBLawrence/status/991765454325628928", "991765454325628928")</f>
        <v/>
      </c>
      <c r="B1719" s="2" t="n">
        <v>43222.82274305556</v>
      </c>
      <c r="C1719" t="n">
        <v>0</v>
      </c>
      <c r="D1719" t="n">
        <v>131</v>
      </c>
      <c r="E1719" t="s">
        <v>1726</v>
      </c>
      <c r="F1719" t="s"/>
      <c r="G1719" t="s"/>
      <c r="H1719" t="s"/>
      <c r="I1719" t="s"/>
      <c r="J1719" t="n">
        <v>-0.3595</v>
      </c>
      <c r="K1719" t="n">
        <v>0.199</v>
      </c>
      <c r="L1719" t="n">
        <v>0.801</v>
      </c>
      <c r="M1719" t="n">
        <v>0</v>
      </c>
    </row>
    <row r="1720" spans="1:13">
      <c r="A1720" s="1">
        <f>HYPERLINK("http://www.twitter.com/NathanBLawrence/status/991765392312877056", "991765392312877056")</f>
        <v/>
      </c>
      <c r="B1720" s="2" t="n">
        <v>43222.82256944444</v>
      </c>
      <c r="C1720" t="n">
        <v>0</v>
      </c>
      <c r="D1720" t="n">
        <v>1118</v>
      </c>
      <c r="E1720" t="s">
        <v>1727</v>
      </c>
      <c r="F1720" t="s"/>
      <c r="G1720" t="s"/>
      <c r="H1720" t="s"/>
      <c r="I1720" t="s"/>
      <c r="J1720" t="n">
        <v>0</v>
      </c>
      <c r="K1720" t="n">
        <v>0</v>
      </c>
      <c r="L1720" t="n">
        <v>1</v>
      </c>
      <c r="M1720" t="n">
        <v>0</v>
      </c>
    </row>
    <row r="1721" spans="1:13">
      <c r="A1721" s="1">
        <f>HYPERLINK("http://www.twitter.com/NathanBLawrence/status/991765223194296320", "991765223194296320")</f>
        <v/>
      </c>
      <c r="B1721" s="2" t="n">
        <v>43222.82209490741</v>
      </c>
      <c r="C1721" t="n">
        <v>0</v>
      </c>
      <c r="D1721" t="n">
        <v>619</v>
      </c>
      <c r="E1721" t="s">
        <v>1728</v>
      </c>
      <c r="F1721" t="s"/>
      <c r="G1721" t="s"/>
      <c r="H1721" t="s"/>
      <c r="I1721" t="s"/>
      <c r="J1721" t="n">
        <v>0</v>
      </c>
      <c r="K1721" t="n">
        <v>0</v>
      </c>
      <c r="L1721" t="n">
        <v>1</v>
      </c>
      <c r="M1721" t="n">
        <v>0</v>
      </c>
    </row>
    <row r="1722" spans="1:13">
      <c r="A1722" s="1">
        <f>HYPERLINK("http://www.twitter.com/NathanBLawrence/status/991764983833706496", "991764983833706496")</f>
        <v/>
      </c>
      <c r="B1722" s="2" t="n">
        <v>43222.82143518519</v>
      </c>
      <c r="C1722" t="n">
        <v>0</v>
      </c>
      <c r="D1722" t="n">
        <v>437</v>
      </c>
      <c r="E1722" t="s">
        <v>1729</v>
      </c>
      <c r="F1722">
        <f>HYPERLINK("http://pbs.twimg.com/media/DcHs9RbW0AYXrXc.jpg", "http://pbs.twimg.com/media/DcHs9RbW0AYXrXc.jpg")</f>
        <v/>
      </c>
      <c r="G1722">
        <f>HYPERLINK("http://pbs.twimg.com/media/DcHs-m3WkAAnjhx.jpg", "http://pbs.twimg.com/media/DcHs-m3WkAAnjhx.jpg")</f>
        <v/>
      </c>
      <c r="H1722">
        <f>HYPERLINK("http://pbs.twimg.com/media/DcHs_DRXUAAZpCl.jpg", "http://pbs.twimg.com/media/DcHs_DRXUAAZpCl.jpg")</f>
        <v/>
      </c>
      <c r="I1722" t="s"/>
      <c r="J1722" t="n">
        <v>0.8356</v>
      </c>
      <c r="K1722" t="n">
        <v>0.059</v>
      </c>
      <c r="L1722" t="n">
        <v>0.591</v>
      </c>
      <c r="M1722" t="n">
        <v>0.35</v>
      </c>
    </row>
    <row r="1723" spans="1:13">
      <c r="A1723" s="1">
        <f>HYPERLINK("http://www.twitter.com/NathanBLawrence/status/991764850777899008", "991764850777899008")</f>
        <v/>
      </c>
      <c r="B1723" s="2" t="n">
        <v>43222.82107638889</v>
      </c>
      <c r="C1723" t="n">
        <v>0</v>
      </c>
      <c r="D1723" t="n">
        <v>264</v>
      </c>
      <c r="E1723" t="s">
        <v>1730</v>
      </c>
      <c r="F1723">
        <f>HYPERLINK("http://pbs.twimg.com/media/DcIVvwPXUAI7El2.jpg", "http://pbs.twimg.com/media/DcIVvwPXUAI7El2.jpg")</f>
        <v/>
      </c>
      <c r="G1723" t="s"/>
      <c r="H1723" t="s"/>
      <c r="I1723" t="s"/>
      <c r="J1723" t="n">
        <v>0.3612</v>
      </c>
      <c r="K1723" t="n">
        <v>0</v>
      </c>
      <c r="L1723" t="n">
        <v>0.889</v>
      </c>
      <c r="M1723" t="n">
        <v>0.111</v>
      </c>
    </row>
    <row r="1724" spans="1:13">
      <c r="A1724" s="1">
        <f>HYPERLINK("http://www.twitter.com/NathanBLawrence/status/991764698558222336", "991764698558222336")</f>
        <v/>
      </c>
      <c r="B1724" s="2" t="n">
        <v>43222.82064814815</v>
      </c>
      <c r="C1724" t="n">
        <v>0</v>
      </c>
      <c r="D1724" t="n">
        <v>826</v>
      </c>
      <c r="E1724" t="s">
        <v>1731</v>
      </c>
      <c r="F1724" t="s"/>
      <c r="G1724" t="s"/>
      <c r="H1724" t="s"/>
      <c r="I1724" t="s"/>
      <c r="J1724" t="n">
        <v>0.8979</v>
      </c>
      <c r="K1724" t="n">
        <v>0</v>
      </c>
      <c r="L1724" t="n">
        <v>0.5620000000000001</v>
      </c>
      <c r="M1724" t="n">
        <v>0.438</v>
      </c>
    </row>
    <row r="1725" spans="1:13">
      <c r="A1725" s="1">
        <f>HYPERLINK("http://www.twitter.com/NathanBLawrence/status/991764491531501568", "991764491531501568")</f>
        <v/>
      </c>
      <c r="B1725" s="2" t="n">
        <v>43222.82008101852</v>
      </c>
      <c r="C1725" t="n">
        <v>0</v>
      </c>
      <c r="D1725" t="n">
        <v>1652</v>
      </c>
      <c r="E1725" t="s">
        <v>1732</v>
      </c>
      <c r="F1725" t="s"/>
      <c r="G1725" t="s"/>
      <c r="H1725" t="s"/>
      <c r="I1725" t="s"/>
      <c r="J1725" t="n">
        <v>0.126</v>
      </c>
      <c r="K1725" t="n">
        <v>0.161</v>
      </c>
      <c r="L1725" t="n">
        <v>0.659</v>
      </c>
      <c r="M1725" t="n">
        <v>0.181</v>
      </c>
    </row>
    <row r="1726" spans="1:13">
      <c r="A1726" s="1">
        <f>HYPERLINK("http://www.twitter.com/NathanBLawrence/status/991764440839147520", "991764440839147520")</f>
        <v/>
      </c>
      <c r="B1726" s="2" t="n">
        <v>43222.81994212963</v>
      </c>
      <c r="C1726" t="n">
        <v>0</v>
      </c>
      <c r="D1726" t="n">
        <v>212</v>
      </c>
      <c r="E1726" t="s">
        <v>1733</v>
      </c>
      <c r="F1726">
        <f>HYPERLINK("http://pbs.twimg.com/media/DcIxEZbUQAEfepN.jpg", "http://pbs.twimg.com/media/DcIxEZbUQAEfepN.jpg")</f>
        <v/>
      </c>
      <c r="G1726" t="s"/>
      <c r="H1726" t="s"/>
      <c r="I1726" t="s"/>
      <c r="J1726" t="n">
        <v>0</v>
      </c>
      <c r="K1726" t="n">
        <v>0</v>
      </c>
      <c r="L1726" t="n">
        <v>1</v>
      </c>
      <c r="M1726" t="n">
        <v>0</v>
      </c>
    </row>
    <row r="1727" spans="1:13">
      <c r="A1727" s="1">
        <f>HYPERLINK("http://www.twitter.com/NathanBLawrence/status/991764370089689088", "991764370089689088")</f>
        <v/>
      </c>
      <c r="B1727" s="2" t="n">
        <v>43222.81974537037</v>
      </c>
      <c r="C1727" t="n">
        <v>0</v>
      </c>
      <c r="D1727" t="n">
        <v>433</v>
      </c>
      <c r="E1727" t="s">
        <v>1734</v>
      </c>
      <c r="F1727">
        <f>HYPERLINK("http://pbs.twimg.com/media/DcNYjKVXkAIaEne.jpg", "http://pbs.twimg.com/media/DcNYjKVXkAIaEne.jpg")</f>
        <v/>
      </c>
      <c r="G1727">
        <f>HYPERLINK("http://pbs.twimg.com/media/DcNYjJ3WsAEsnqc.jpg", "http://pbs.twimg.com/media/DcNYjJ3WsAEsnqc.jpg")</f>
        <v/>
      </c>
      <c r="H1727">
        <f>HYPERLINK("http://pbs.twimg.com/media/DcNYjKxXUAI3Qmk.jpg", "http://pbs.twimg.com/media/DcNYjKxXUAI3Qmk.jpg")</f>
        <v/>
      </c>
      <c r="I1727">
        <f>HYPERLINK("http://pbs.twimg.com/media/DcNYjKkWAAEeJTB.jpg", "http://pbs.twimg.com/media/DcNYjKkWAAEeJTB.jpg")</f>
        <v/>
      </c>
      <c r="J1727" t="n">
        <v>0.636</v>
      </c>
      <c r="K1727" t="n">
        <v>0</v>
      </c>
      <c r="L1727" t="n">
        <v>0.544</v>
      </c>
      <c r="M1727" t="n">
        <v>0.456</v>
      </c>
    </row>
    <row r="1728" spans="1:13">
      <c r="A1728" s="1">
        <f>HYPERLINK("http://www.twitter.com/NathanBLawrence/status/991764107496837120", "991764107496837120")</f>
        <v/>
      </c>
      <c r="B1728" s="2" t="n">
        <v>43222.81901620371</v>
      </c>
      <c r="C1728" t="n">
        <v>0</v>
      </c>
      <c r="D1728" t="n">
        <v>5644</v>
      </c>
      <c r="E1728" t="s">
        <v>1735</v>
      </c>
      <c r="F1728" t="s"/>
      <c r="G1728" t="s"/>
      <c r="H1728" t="s"/>
      <c r="I1728" t="s"/>
      <c r="J1728" t="n">
        <v>0.8588</v>
      </c>
      <c r="K1728" t="n">
        <v>0</v>
      </c>
      <c r="L1728" t="n">
        <v>0.708</v>
      </c>
      <c r="M1728" t="n">
        <v>0.292</v>
      </c>
    </row>
    <row r="1729" spans="1:13">
      <c r="A1729" s="1">
        <f>HYPERLINK("http://www.twitter.com/NathanBLawrence/status/991764038127267840", "991764038127267840")</f>
        <v/>
      </c>
      <c r="B1729" s="2" t="n">
        <v>43222.81883101852</v>
      </c>
      <c r="C1729" t="n">
        <v>0</v>
      </c>
      <c r="D1729" t="n">
        <v>0</v>
      </c>
      <c r="E1729" t="s">
        <v>1736</v>
      </c>
      <c r="F1729" t="s"/>
      <c r="G1729" t="s"/>
      <c r="H1729" t="s"/>
      <c r="I1729" t="s"/>
      <c r="J1729" t="n">
        <v>-0.7351</v>
      </c>
      <c r="K1729" t="n">
        <v>0.554</v>
      </c>
      <c r="L1729" t="n">
        <v>0.446</v>
      </c>
      <c r="M1729" t="n">
        <v>0</v>
      </c>
    </row>
    <row r="1730" spans="1:13">
      <c r="A1730" s="1">
        <f>HYPERLINK("http://www.twitter.com/NathanBLawrence/status/991763438694117376", "991763438694117376")</f>
        <v/>
      </c>
      <c r="B1730" s="2" t="n">
        <v>43222.81717592593</v>
      </c>
      <c r="C1730" t="n">
        <v>0</v>
      </c>
      <c r="D1730" t="n">
        <v>849</v>
      </c>
      <c r="E1730" t="s">
        <v>1737</v>
      </c>
      <c r="F1730" t="s"/>
      <c r="G1730" t="s"/>
      <c r="H1730" t="s"/>
      <c r="I1730" t="s"/>
      <c r="J1730" t="n">
        <v>0.8519</v>
      </c>
      <c r="K1730" t="n">
        <v>0</v>
      </c>
      <c r="L1730" t="n">
        <v>0.644</v>
      </c>
      <c r="M1730" t="n">
        <v>0.356</v>
      </c>
    </row>
    <row r="1731" spans="1:13">
      <c r="A1731" s="1">
        <f>HYPERLINK("http://www.twitter.com/NathanBLawrence/status/991763388467363841", "991763388467363841")</f>
        <v/>
      </c>
      <c r="B1731" s="2" t="n">
        <v>43222.81703703704</v>
      </c>
      <c r="C1731" t="n">
        <v>0</v>
      </c>
      <c r="D1731" t="n">
        <v>1836</v>
      </c>
      <c r="E1731" t="s">
        <v>1738</v>
      </c>
      <c r="F1731">
        <f>HYPERLINK("http://pbs.twimg.com/media/DcM5c7KVMAAOOYK.jpg", "http://pbs.twimg.com/media/DcM5c7KVMAAOOYK.jpg")</f>
        <v/>
      </c>
      <c r="G1731" t="s"/>
      <c r="H1731" t="s"/>
      <c r="I1731" t="s"/>
      <c r="J1731" t="n">
        <v>0.8225</v>
      </c>
      <c r="K1731" t="n">
        <v>0</v>
      </c>
      <c r="L1731" t="n">
        <v>0.65</v>
      </c>
      <c r="M1731" t="n">
        <v>0.35</v>
      </c>
    </row>
    <row r="1732" spans="1:13">
      <c r="A1732" s="1">
        <f>HYPERLINK("http://www.twitter.com/NathanBLawrence/status/991763276118638592", "991763276118638592")</f>
        <v/>
      </c>
      <c r="B1732" s="2" t="n">
        <v>43222.81672453704</v>
      </c>
      <c r="C1732" t="n">
        <v>0</v>
      </c>
      <c r="D1732" t="n">
        <v>0</v>
      </c>
      <c r="E1732" t="s">
        <v>1739</v>
      </c>
      <c r="F1732" t="s"/>
      <c r="G1732" t="s"/>
      <c r="H1732" t="s"/>
      <c r="I1732" t="s"/>
      <c r="J1732" t="n">
        <v>0.7423999999999999</v>
      </c>
      <c r="K1732" t="n">
        <v>0</v>
      </c>
      <c r="L1732" t="n">
        <v>0.718</v>
      </c>
      <c r="M1732" t="n">
        <v>0.282</v>
      </c>
    </row>
    <row r="1733" spans="1:13">
      <c r="A1733" s="1">
        <f>HYPERLINK("http://www.twitter.com/NathanBLawrence/status/991762481428054016", "991762481428054016")</f>
        <v/>
      </c>
      <c r="B1733" s="2" t="n">
        <v>43222.81453703704</v>
      </c>
      <c r="C1733" t="n">
        <v>1</v>
      </c>
      <c r="D1733" t="n">
        <v>0</v>
      </c>
      <c r="E1733" t="s">
        <v>1740</v>
      </c>
      <c r="F1733" t="s"/>
      <c r="G1733" t="s"/>
      <c r="H1733" t="s"/>
      <c r="I1733" t="s"/>
      <c r="J1733" t="n">
        <v>-0.7003</v>
      </c>
      <c r="K1733" t="n">
        <v>0.309</v>
      </c>
      <c r="L1733" t="n">
        <v>0.6909999999999999</v>
      </c>
      <c r="M1733" t="n">
        <v>0</v>
      </c>
    </row>
    <row r="1734" spans="1:13">
      <c r="A1734" s="1">
        <f>HYPERLINK("http://www.twitter.com/NathanBLawrence/status/991761931382882304", "991761931382882304")</f>
        <v/>
      </c>
      <c r="B1734" s="2" t="n">
        <v>43222.81302083333</v>
      </c>
      <c r="C1734" t="n">
        <v>3</v>
      </c>
      <c r="D1734" t="n">
        <v>1</v>
      </c>
      <c r="E1734" t="s">
        <v>1741</v>
      </c>
      <c r="F1734">
        <f>HYPERLINK("http://pbs.twimg.com/media/DcNx8GDX4AAcmVT.jpg", "http://pbs.twimg.com/media/DcNx8GDX4AAcmVT.jpg")</f>
        <v/>
      </c>
      <c r="G1734" t="s"/>
      <c r="H1734" t="s"/>
      <c r="I1734" t="s"/>
      <c r="J1734" t="n">
        <v>-0.8982</v>
      </c>
      <c r="K1734" t="n">
        <v>0.244</v>
      </c>
      <c r="L1734" t="n">
        <v>0.756</v>
      </c>
      <c r="M1734" t="n">
        <v>0</v>
      </c>
    </row>
    <row r="1735" spans="1:13">
      <c r="A1735" s="1">
        <f>HYPERLINK("http://www.twitter.com/NathanBLawrence/status/991760748886900737", "991760748886900737")</f>
        <v/>
      </c>
      <c r="B1735" s="2" t="n">
        <v>43222.80975694444</v>
      </c>
      <c r="C1735" t="n">
        <v>0</v>
      </c>
      <c r="D1735" t="n">
        <v>0</v>
      </c>
      <c r="E1735" t="s">
        <v>1742</v>
      </c>
      <c r="F1735" t="s"/>
      <c r="G1735" t="s"/>
      <c r="H1735" t="s"/>
      <c r="I1735" t="s"/>
      <c r="J1735" t="n">
        <v>-0.5803</v>
      </c>
      <c r="K1735" t="n">
        <v>0.115</v>
      </c>
      <c r="L1735" t="n">
        <v>0.885</v>
      </c>
      <c r="M1735" t="n">
        <v>0</v>
      </c>
    </row>
    <row r="1736" spans="1:13">
      <c r="A1736" s="1">
        <f>HYPERLINK("http://www.twitter.com/NathanBLawrence/status/991759061254266880", "991759061254266880")</f>
        <v/>
      </c>
      <c r="B1736" s="2" t="n">
        <v>43222.80509259259</v>
      </c>
      <c r="C1736" t="n">
        <v>3</v>
      </c>
      <c r="D1736" t="n">
        <v>1</v>
      </c>
      <c r="E1736" t="s">
        <v>1743</v>
      </c>
      <c r="F1736" t="s"/>
      <c r="G1736" t="s"/>
      <c r="H1736" t="s"/>
      <c r="I1736" t="s"/>
      <c r="J1736" t="n">
        <v>-0.8975</v>
      </c>
      <c r="K1736" t="n">
        <v>0.244</v>
      </c>
      <c r="L1736" t="n">
        <v>0.702</v>
      </c>
      <c r="M1736" t="n">
        <v>0.053</v>
      </c>
    </row>
    <row r="1737" spans="1:13">
      <c r="A1737" s="1">
        <f>HYPERLINK("http://www.twitter.com/NathanBLawrence/status/991757019446099968", "991757019446099968")</f>
        <v/>
      </c>
      <c r="B1737" s="2" t="n">
        <v>43222.79946759259</v>
      </c>
      <c r="C1737" t="n">
        <v>6</v>
      </c>
      <c r="D1737" t="n">
        <v>3</v>
      </c>
      <c r="E1737" t="s">
        <v>1744</v>
      </c>
      <c r="F1737" t="s"/>
      <c r="G1737" t="s"/>
      <c r="H1737" t="s"/>
      <c r="I1737" t="s"/>
      <c r="J1737" t="n">
        <v>-0.8494</v>
      </c>
      <c r="K1737" t="n">
        <v>0.196</v>
      </c>
      <c r="L1737" t="n">
        <v>0.765</v>
      </c>
      <c r="M1737" t="n">
        <v>0.039</v>
      </c>
    </row>
    <row r="1738" spans="1:13">
      <c r="A1738" s="1">
        <f>HYPERLINK("http://www.twitter.com/NathanBLawrence/status/991750370366910464", "991750370366910464")</f>
        <v/>
      </c>
      <c r="B1738" s="2" t="n">
        <v>43222.78111111111</v>
      </c>
      <c r="C1738" t="n">
        <v>0</v>
      </c>
      <c r="D1738" t="n">
        <v>13700</v>
      </c>
      <c r="E1738" t="s">
        <v>1745</v>
      </c>
      <c r="F1738">
        <f>HYPERLINK("https://video.twimg.com/ext_tw_video/991743152896737280/pu/vid/1280x720/WDVGrByUG1iOJc7o.mp4?tag=3", "https://video.twimg.com/ext_tw_video/991743152896737280/pu/vid/1280x720/WDVGrByUG1iOJc7o.mp4?tag=3")</f>
        <v/>
      </c>
      <c r="G1738" t="s"/>
      <c r="H1738" t="s"/>
      <c r="I1738" t="s"/>
      <c r="J1738" t="n">
        <v>0.636</v>
      </c>
      <c r="K1738" t="n">
        <v>0</v>
      </c>
      <c r="L1738" t="n">
        <v>0.488</v>
      </c>
      <c r="M1738" t="n">
        <v>0.512</v>
      </c>
    </row>
    <row r="1739" spans="1:13">
      <c r="A1739" s="1">
        <f>HYPERLINK("http://www.twitter.com/NathanBLawrence/status/991750312602955776", "991750312602955776")</f>
        <v/>
      </c>
      <c r="B1739" s="2" t="n">
        <v>43222.78096064815</v>
      </c>
      <c r="C1739" t="n">
        <v>0</v>
      </c>
      <c r="D1739" t="n">
        <v>31484</v>
      </c>
      <c r="E1739" t="s">
        <v>1746</v>
      </c>
      <c r="F1739" t="s"/>
      <c r="G1739" t="s"/>
      <c r="H1739" t="s"/>
      <c r="I1739" t="s"/>
      <c r="J1739" t="n">
        <v>-0.3736</v>
      </c>
      <c r="K1739" t="n">
        <v>0.118</v>
      </c>
      <c r="L1739" t="n">
        <v>0.828</v>
      </c>
      <c r="M1739" t="n">
        <v>0.054</v>
      </c>
    </row>
    <row r="1740" spans="1:13">
      <c r="A1740" s="1">
        <f>HYPERLINK("http://www.twitter.com/NathanBLawrence/status/991750137943740417", "991750137943740417")</f>
        <v/>
      </c>
      <c r="B1740" s="2" t="n">
        <v>43222.78047453704</v>
      </c>
      <c r="C1740" t="n">
        <v>0</v>
      </c>
      <c r="D1740" t="n">
        <v>24895</v>
      </c>
      <c r="E1740" t="s">
        <v>1747</v>
      </c>
      <c r="F1740" t="s"/>
      <c r="G1740" t="s"/>
      <c r="H1740" t="s"/>
      <c r="I1740" t="s"/>
      <c r="J1740" t="n">
        <v>0.2003</v>
      </c>
      <c r="K1740" t="n">
        <v>0.08400000000000001</v>
      </c>
      <c r="L1740" t="n">
        <v>0.8</v>
      </c>
      <c r="M1740" t="n">
        <v>0.116</v>
      </c>
    </row>
    <row r="1741" spans="1:13">
      <c r="A1741" s="1">
        <f>HYPERLINK("http://www.twitter.com/NathanBLawrence/status/991749943969726464", "991749943969726464")</f>
        <v/>
      </c>
      <c r="B1741" s="2" t="n">
        <v>43222.77994212963</v>
      </c>
      <c r="C1741" t="n">
        <v>0</v>
      </c>
      <c r="D1741" t="n">
        <v>17391</v>
      </c>
      <c r="E1741" t="s">
        <v>1748</v>
      </c>
      <c r="F1741" t="s"/>
      <c r="G1741" t="s"/>
      <c r="H1741" t="s"/>
      <c r="I1741" t="s"/>
      <c r="J1741" t="n">
        <v>-0.34</v>
      </c>
      <c r="K1741" t="n">
        <v>0.112</v>
      </c>
      <c r="L1741" t="n">
        <v>0.888</v>
      </c>
      <c r="M1741" t="n">
        <v>0</v>
      </c>
    </row>
    <row r="1742" spans="1:13">
      <c r="A1742" s="1">
        <f>HYPERLINK("http://www.twitter.com/NathanBLawrence/status/991749505946025984", "991749505946025984")</f>
        <v/>
      </c>
      <c r="B1742" s="2" t="n">
        <v>43222.77872685185</v>
      </c>
      <c r="C1742" t="n">
        <v>0</v>
      </c>
      <c r="D1742" t="n">
        <v>26954</v>
      </c>
      <c r="E1742" t="s">
        <v>1749</v>
      </c>
      <c r="F1742" t="s"/>
      <c r="G1742" t="s"/>
      <c r="H1742" t="s"/>
      <c r="I1742" t="s"/>
      <c r="J1742" t="n">
        <v>0</v>
      </c>
      <c r="K1742" t="n">
        <v>0.148</v>
      </c>
      <c r="L1742" t="n">
        <v>0.738</v>
      </c>
      <c r="M1742" t="n">
        <v>0.114</v>
      </c>
    </row>
    <row r="1743" spans="1:13">
      <c r="A1743" s="1">
        <f>HYPERLINK("http://www.twitter.com/NathanBLawrence/status/991748441389776896", "991748441389776896")</f>
        <v/>
      </c>
      <c r="B1743" s="2" t="n">
        <v>43222.77578703704</v>
      </c>
      <c r="C1743" t="n">
        <v>0</v>
      </c>
      <c r="D1743" t="n">
        <v>10925</v>
      </c>
      <c r="E1743" t="s">
        <v>1750</v>
      </c>
      <c r="F1743">
        <f>HYPERLINK("https://video.twimg.com/ext_tw_video/991380126372958208/pu/vid/1280x720/mK7TpHCNdxOiO5Xn.mp4?tag=3", "https://video.twimg.com/ext_tw_video/991380126372958208/pu/vid/1280x720/mK7TpHCNdxOiO5Xn.mp4?tag=3")</f>
        <v/>
      </c>
      <c r="G1743" t="s"/>
      <c r="H1743" t="s"/>
      <c r="I1743" t="s"/>
      <c r="J1743" t="n">
        <v>0.636</v>
      </c>
      <c r="K1743" t="n">
        <v>0</v>
      </c>
      <c r="L1743" t="n">
        <v>0.488</v>
      </c>
      <c r="M1743" t="n">
        <v>0.512</v>
      </c>
    </row>
    <row r="1744" spans="1:13">
      <c r="A1744" s="1">
        <f>HYPERLINK("http://www.twitter.com/NathanBLawrence/status/991748099033841664", "991748099033841664")</f>
        <v/>
      </c>
      <c r="B1744" s="2" t="n">
        <v>43222.77484953704</v>
      </c>
      <c r="C1744" t="n">
        <v>0</v>
      </c>
      <c r="D1744" t="n">
        <v>2085</v>
      </c>
      <c r="E1744" t="s">
        <v>1751</v>
      </c>
      <c r="F1744" t="s"/>
      <c r="G1744" t="s"/>
      <c r="H1744" t="s"/>
      <c r="I1744" t="s"/>
      <c r="J1744" t="n">
        <v>-0.9153</v>
      </c>
      <c r="K1744" t="n">
        <v>0.479</v>
      </c>
      <c r="L1744" t="n">
        <v>0.521</v>
      </c>
      <c r="M1744" t="n">
        <v>0</v>
      </c>
    </row>
    <row r="1745" spans="1:13">
      <c r="A1745" s="1">
        <f>HYPERLINK("http://www.twitter.com/NathanBLawrence/status/991746707560919040", "991746707560919040")</f>
        <v/>
      </c>
      <c r="B1745" s="2" t="n">
        <v>43222.77100694444</v>
      </c>
      <c r="C1745" t="n">
        <v>0</v>
      </c>
      <c r="D1745" t="n">
        <v>0</v>
      </c>
      <c r="E1745" t="s">
        <v>1752</v>
      </c>
      <c r="F1745" t="s"/>
      <c r="G1745" t="s"/>
      <c r="H1745" t="s"/>
      <c r="I1745" t="s"/>
      <c r="J1745" t="n">
        <v>0</v>
      </c>
      <c r="K1745" t="n">
        <v>0</v>
      </c>
      <c r="L1745" t="n">
        <v>1</v>
      </c>
      <c r="M1745" t="n">
        <v>0</v>
      </c>
    </row>
    <row r="1746" spans="1:13">
      <c r="A1746" s="1">
        <f>HYPERLINK("http://www.twitter.com/NathanBLawrence/status/991745738911592448", "991745738911592448")</f>
        <v/>
      </c>
      <c r="B1746" s="2" t="n">
        <v>43222.76833333333</v>
      </c>
      <c r="C1746" t="n">
        <v>0</v>
      </c>
      <c r="D1746" t="n">
        <v>6</v>
      </c>
      <c r="E1746" t="s">
        <v>1753</v>
      </c>
      <c r="F1746" t="s"/>
      <c r="G1746" t="s"/>
      <c r="H1746" t="s"/>
      <c r="I1746" t="s"/>
      <c r="J1746" t="n">
        <v>0</v>
      </c>
      <c r="K1746" t="n">
        <v>0</v>
      </c>
      <c r="L1746" t="n">
        <v>1</v>
      </c>
      <c r="M1746" t="n">
        <v>0</v>
      </c>
    </row>
    <row r="1747" spans="1:13">
      <c r="A1747" s="1">
        <f>HYPERLINK("http://www.twitter.com/NathanBLawrence/status/991744284016525313", "991744284016525313")</f>
        <v/>
      </c>
      <c r="B1747" s="2" t="n">
        <v>43222.76431712963</v>
      </c>
      <c r="C1747" t="n">
        <v>0</v>
      </c>
      <c r="D1747" t="n">
        <v>1</v>
      </c>
      <c r="E1747" t="s">
        <v>1754</v>
      </c>
      <c r="F1747" t="s"/>
      <c r="G1747" t="s"/>
      <c r="H1747" t="s"/>
      <c r="I1747" t="s"/>
      <c r="J1747" t="n">
        <v>0.3802</v>
      </c>
      <c r="K1747" t="n">
        <v>0</v>
      </c>
      <c r="L1747" t="n">
        <v>0.834</v>
      </c>
      <c r="M1747" t="n">
        <v>0.166</v>
      </c>
    </row>
    <row r="1748" spans="1:13">
      <c r="A1748" s="1">
        <f>HYPERLINK("http://www.twitter.com/NathanBLawrence/status/991739379453378560", "991739379453378560")</f>
        <v/>
      </c>
      <c r="B1748" s="2" t="n">
        <v>43222.75078703704</v>
      </c>
      <c r="C1748" t="n">
        <v>0</v>
      </c>
      <c r="D1748" t="n">
        <v>0</v>
      </c>
      <c r="E1748" t="s">
        <v>1755</v>
      </c>
      <c r="F1748" t="s"/>
      <c r="G1748" t="s"/>
      <c r="H1748" t="s"/>
      <c r="I1748" t="s"/>
      <c r="J1748" t="n">
        <v>0</v>
      </c>
      <c r="K1748" t="n">
        <v>0</v>
      </c>
      <c r="L1748" t="n">
        <v>1</v>
      </c>
      <c r="M1748" t="n">
        <v>0</v>
      </c>
    </row>
    <row r="1749" spans="1:13">
      <c r="A1749" s="1">
        <f>HYPERLINK("http://www.twitter.com/NathanBLawrence/status/991738942687870976", "991738942687870976")</f>
        <v/>
      </c>
      <c r="B1749" s="2" t="n">
        <v>43222.74958333333</v>
      </c>
      <c r="C1749" t="n">
        <v>0</v>
      </c>
      <c r="D1749" t="n">
        <v>0</v>
      </c>
      <c r="E1749" t="s">
        <v>1756</v>
      </c>
      <c r="F1749" t="s"/>
      <c r="G1749" t="s"/>
      <c r="H1749" t="s"/>
      <c r="I1749" t="s"/>
      <c r="J1749" t="n">
        <v>0.8176</v>
      </c>
      <c r="K1749" t="n">
        <v>0</v>
      </c>
      <c r="L1749" t="n">
        <v>0.844</v>
      </c>
      <c r="M1749" t="n">
        <v>0.156</v>
      </c>
    </row>
    <row r="1750" spans="1:13">
      <c r="A1750" s="1">
        <f>HYPERLINK("http://www.twitter.com/NathanBLawrence/status/991738695752417280", "991738695752417280")</f>
        <v/>
      </c>
      <c r="B1750" s="2" t="n">
        <v>43222.74890046296</v>
      </c>
      <c r="C1750" t="n">
        <v>0</v>
      </c>
      <c r="D1750" t="n">
        <v>0</v>
      </c>
      <c r="E1750" t="s">
        <v>1757</v>
      </c>
      <c r="F1750" t="s"/>
      <c r="G1750" t="s"/>
      <c r="H1750" t="s"/>
      <c r="I1750" t="s"/>
      <c r="J1750" t="n">
        <v>0.8176</v>
      </c>
      <c r="K1750" t="n">
        <v>0</v>
      </c>
      <c r="L1750" t="n">
        <v>0.844</v>
      </c>
      <c r="M1750" t="n">
        <v>0.156</v>
      </c>
    </row>
    <row r="1751" spans="1:13">
      <c r="A1751" s="1">
        <f>HYPERLINK("http://www.twitter.com/NathanBLawrence/status/991736578337751040", "991736578337751040")</f>
        <v/>
      </c>
      <c r="B1751" s="2" t="n">
        <v>43222.74305555555</v>
      </c>
      <c r="C1751" t="n">
        <v>2</v>
      </c>
      <c r="D1751" t="n">
        <v>0</v>
      </c>
      <c r="E1751" t="s">
        <v>1758</v>
      </c>
      <c r="F1751" t="s"/>
      <c r="G1751" t="s"/>
      <c r="H1751" t="s"/>
      <c r="I1751" t="s"/>
      <c r="J1751" t="n">
        <v>0</v>
      </c>
      <c r="K1751" t="n">
        <v>0</v>
      </c>
      <c r="L1751" t="n">
        <v>1</v>
      </c>
      <c r="M1751" t="n">
        <v>0</v>
      </c>
    </row>
    <row r="1752" spans="1:13">
      <c r="A1752" s="1">
        <f>HYPERLINK("http://www.twitter.com/NathanBLawrence/status/991735701543645185", "991735701543645185")</f>
        <v/>
      </c>
      <c r="B1752" s="2" t="n">
        <v>43222.74063657408</v>
      </c>
      <c r="C1752" t="n">
        <v>0</v>
      </c>
      <c r="D1752" t="n">
        <v>0</v>
      </c>
      <c r="E1752" t="s">
        <v>1759</v>
      </c>
      <c r="F1752" t="s"/>
      <c r="G1752" t="s"/>
      <c r="H1752" t="s"/>
      <c r="I1752" t="s"/>
      <c r="J1752" t="n">
        <v>0.4912</v>
      </c>
      <c r="K1752" t="n">
        <v>0</v>
      </c>
      <c r="L1752" t="n">
        <v>0.715</v>
      </c>
      <c r="M1752" t="n">
        <v>0.285</v>
      </c>
    </row>
    <row r="1753" spans="1:13">
      <c r="A1753" s="1">
        <f>HYPERLINK("http://www.twitter.com/NathanBLawrence/status/991732433753001984", "991732433753001984")</f>
        <v/>
      </c>
      <c r="B1753" s="2" t="n">
        <v>43222.73162037037</v>
      </c>
      <c r="C1753" t="n">
        <v>0</v>
      </c>
      <c r="D1753" t="n">
        <v>1368</v>
      </c>
      <c r="E1753" t="s">
        <v>1760</v>
      </c>
      <c r="F1753" t="s"/>
      <c r="G1753" t="s"/>
      <c r="H1753" t="s"/>
      <c r="I1753" t="s"/>
      <c r="J1753" t="n">
        <v>0</v>
      </c>
      <c r="K1753" t="n">
        <v>0</v>
      </c>
      <c r="L1753" t="n">
        <v>1</v>
      </c>
      <c r="M1753" t="n">
        <v>0</v>
      </c>
    </row>
    <row r="1754" spans="1:13">
      <c r="A1754" s="1">
        <f>HYPERLINK("http://www.twitter.com/NathanBLawrence/status/991731036915515392", "991731036915515392")</f>
        <v/>
      </c>
      <c r="B1754" s="2" t="n">
        <v>43222.7277662037</v>
      </c>
      <c r="C1754" t="n">
        <v>0</v>
      </c>
      <c r="D1754" t="n">
        <v>2</v>
      </c>
      <c r="E1754" t="s">
        <v>1761</v>
      </c>
      <c r="F1754" t="s"/>
      <c r="G1754" t="s"/>
      <c r="H1754" t="s"/>
      <c r="I1754" t="s"/>
      <c r="J1754" t="n">
        <v>0</v>
      </c>
      <c r="K1754" t="n">
        <v>0</v>
      </c>
      <c r="L1754" t="n">
        <v>1</v>
      </c>
      <c r="M1754" t="n">
        <v>0</v>
      </c>
    </row>
    <row r="1755" spans="1:13">
      <c r="A1755" s="1">
        <f>HYPERLINK("http://www.twitter.com/NathanBLawrence/status/991728867927736321", "991728867927736321")</f>
        <v/>
      </c>
      <c r="B1755" s="2" t="n">
        <v>43222.72178240741</v>
      </c>
      <c r="C1755" t="n">
        <v>0</v>
      </c>
      <c r="D1755" t="n">
        <v>3</v>
      </c>
      <c r="E1755" t="s">
        <v>1762</v>
      </c>
      <c r="F1755" t="s"/>
      <c r="G1755" t="s"/>
      <c r="H1755" t="s"/>
      <c r="I1755" t="s"/>
      <c r="J1755" t="n">
        <v>0</v>
      </c>
      <c r="K1755" t="n">
        <v>0</v>
      </c>
      <c r="L1755" t="n">
        <v>1</v>
      </c>
      <c r="M1755" t="n">
        <v>0</v>
      </c>
    </row>
    <row r="1756" spans="1:13">
      <c r="A1756" s="1">
        <f>HYPERLINK("http://www.twitter.com/NathanBLawrence/status/991728738575335426", "991728738575335426")</f>
        <v/>
      </c>
      <c r="B1756" s="2" t="n">
        <v>43222.72142361111</v>
      </c>
      <c r="C1756" t="n">
        <v>2</v>
      </c>
      <c r="D1756" t="n">
        <v>1</v>
      </c>
      <c r="E1756" t="s">
        <v>1763</v>
      </c>
      <c r="F1756">
        <f>HYPERLINK("http://pbs.twimg.com/media/DcNT3p3VAAA00vi.jpg", "http://pbs.twimg.com/media/DcNT3p3VAAA00vi.jpg")</f>
        <v/>
      </c>
      <c r="G1756" t="s"/>
      <c r="H1756" t="s"/>
      <c r="I1756" t="s"/>
      <c r="J1756" t="n">
        <v>-0.1007</v>
      </c>
      <c r="K1756" t="n">
        <v>0.1</v>
      </c>
      <c r="L1756" t="n">
        <v>0.8179999999999999</v>
      </c>
      <c r="M1756" t="n">
        <v>0.082</v>
      </c>
    </row>
    <row r="1757" spans="1:13">
      <c r="A1757" s="1">
        <f>HYPERLINK("http://www.twitter.com/NathanBLawrence/status/991727965309255680", "991727965309255680")</f>
        <v/>
      </c>
      <c r="B1757" s="2" t="n">
        <v>43222.71929398148</v>
      </c>
      <c r="C1757" t="n">
        <v>0</v>
      </c>
      <c r="D1757" t="n">
        <v>10</v>
      </c>
      <c r="E1757" t="s">
        <v>1764</v>
      </c>
      <c r="F1757" t="s"/>
      <c r="G1757" t="s"/>
      <c r="H1757" t="s"/>
      <c r="I1757" t="s"/>
      <c r="J1757" t="n">
        <v>0</v>
      </c>
      <c r="K1757" t="n">
        <v>0</v>
      </c>
      <c r="L1757" t="n">
        <v>1</v>
      </c>
      <c r="M1757" t="n">
        <v>0</v>
      </c>
    </row>
    <row r="1758" spans="1:13">
      <c r="A1758" s="1">
        <f>HYPERLINK("http://www.twitter.com/NathanBLawrence/status/991727075206746113", "991727075206746113")</f>
        <v/>
      </c>
      <c r="B1758" s="2" t="n">
        <v>43222.71682870371</v>
      </c>
      <c r="C1758" t="n">
        <v>0</v>
      </c>
      <c r="D1758" t="n">
        <v>10</v>
      </c>
      <c r="E1758" t="s">
        <v>1765</v>
      </c>
      <c r="F1758">
        <f>HYPERLINK("http://pbs.twimg.com/media/DcMAnIGU0AAGaLM.jpg", "http://pbs.twimg.com/media/DcMAnIGU0AAGaLM.jpg")</f>
        <v/>
      </c>
      <c r="G1758" t="s"/>
      <c r="H1758" t="s"/>
      <c r="I1758" t="s"/>
      <c r="J1758" t="n">
        <v>0.5106000000000001</v>
      </c>
      <c r="K1758" t="n">
        <v>0</v>
      </c>
      <c r="L1758" t="n">
        <v>0.845</v>
      </c>
      <c r="M1758" t="n">
        <v>0.155</v>
      </c>
    </row>
    <row r="1759" spans="1:13">
      <c r="A1759" s="1">
        <f>HYPERLINK("http://www.twitter.com/NathanBLawrence/status/991726042573254658", "991726042573254658")</f>
        <v/>
      </c>
      <c r="B1759" s="2" t="n">
        <v>43222.71398148148</v>
      </c>
      <c r="C1759" t="n">
        <v>0</v>
      </c>
      <c r="D1759" t="n">
        <v>2</v>
      </c>
      <c r="E1759" t="s">
        <v>1766</v>
      </c>
      <c r="F1759" t="s"/>
      <c r="G1759" t="s"/>
      <c r="H1759" t="s"/>
      <c r="I1759" t="s"/>
      <c r="J1759" t="n">
        <v>0</v>
      </c>
      <c r="K1759" t="n">
        <v>0</v>
      </c>
      <c r="L1759" t="n">
        <v>1</v>
      </c>
      <c r="M1759" t="n">
        <v>0</v>
      </c>
    </row>
    <row r="1760" spans="1:13">
      <c r="A1760" s="1">
        <f>HYPERLINK("http://www.twitter.com/NathanBLawrence/status/991725711114227712", "991725711114227712")</f>
        <v/>
      </c>
      <c r="B1760" s="2" t="n">
        <v>43222.71306712963</v>
      </c>
      <c r="C1760" t="n">
        <v>0</v>
      </c>
      <c r="D1760" t="n">
        <v>1</v>
      </c>
      <c r="E1760" t="s">
        <v>1767</v>
      </c>
      <c r="F1760">
        <f>HYPERLINK("http://pbs.twimg.com/media/DcNDKjuXkAED-ys.jpg", "http://pbs.twimg.com/media/DcNDKjuXkAED-ys.jpg")</f>
        <v/>
      </c>
      <c r="G1760" t="s"/>
      <c r="H1760" t="s"/>
      <c r="I1760" t="s"/>
      <c r="J1760" t="n">
        <v>0.5266999999999999</v>
      </c>
      <c r="K1760" t="n">
        <v>0</v>
      </c>
      <c r="L1760" t="n">
        <v>0.793</v>
      </c>
      <c r="M1760" t="n">
        <v>0.207</v>
      </c>
    </row>
    <row r="1761" spans="1:13">
      <c r="A1761" s="1">
        <f>HYPERLINK("http://www.twitter.com/NathanBLawrence/status/991723657905848325", "991723657905848325")</f>
        <v/>
      </c>
      <c r="B1761" s="2" t="n">
        <v>43222.7074074074</v>
      </c>
      <c r="C1761" t="n">
        <v>0</v>
      </c>
      <c r="D1761" t="n">
        <v>1</v>
      </c>
      <c r="E1761" t="s">
        <v>1768</v>
      </c>
      <c r="F1761" t="s"/>
      <c r="G1761" t="s"/>
      <c r="H1761" t="s"/>
      <c r="I1761" t="s"/>
      <c r="J1761" t="n">
        <v>0.3818</v>
      </c>
      <c r="K1761" t="n">
        <v>0</v>
      </c>
      <c r="L1761" t="n">
        <v>0.88</v>
      </c>
      <c r="M1761" t="n">
        <v>0.12</v>
      </c>
    </row>
    <row r="1762" spans="1:13">
      <c r="A1762" s="1">
        <f>HYPERLINK("http://www.twitter.com/NathanBLawrence/status/991716983115673600", "991716983115673600")</f>
        <v/>
      </c>
      <c r="B1762" s="2" t="n">
        <v>43222.68898148148</v>
      </c>
      <c r="C1762" t="n">
        <v>0</v>
      </c>
      <c r="D1762" t="n">
        <v>31</v>
      </c>
      <c r="E1762" t="s">
        <v>1769</v>
      </c>
      <c r="F1762" t="s"/>
      <c r="G1762" t="s"/>
      <c r="H1762" t="s"/>
      <c r="I1762" t="s"/>
      <c r="J1762" t="n">
        <v>0.4939</v>
      </c>
      <c r="K1762" t="n">
        <v>0</v>
      </c>
      <c r="L1762" t="n">
        <v>0.826</v>
      </c>
      <c r="M1762" t="n">
        <v>0.174</v>
      </c>
    </row>
    <row r="1763" spans="1:13">
      <c r="A1763" s="1">
        <f>HYPERLINK("http://www.twitter.com/NathanBLawrence/status/991716602029592576", "991716602029592576")</f>
        <v/>
      </c>
      <c r="B1763" s="2" t="n">
        <v>43222.68792824074</v>
      </c>
      <c r="C1763" t="n">
        <v>0</v>
      </c>
      <c r="D1763" t="n">
        <v>3378</v>
      </c>
      <c r="E1763" t="s">
        <v>1770</v>
      </c>
      <c r="F1763" t="s"/>
      <c r="G1763" t="s"/>
      <c r="H1763" t="s"/>
      <c r="I1763" t="s"/>
      <c r="J1763" t="n">
        <v>-0.3182</v>
      </c>
      <c r="K1763" t="n">
        <v>0.161</v>
      </c>
      <c r="L1763" t="n">
        <v>0.839</v>
      </c>
      <c r="M1763" t="n">
        <v>0</v>
      </c>
    </row>
    <row r="1764" spans="1:13">
      <c r="A1764" s="1">
        <f>HYPERLINK("http://www.twitter.com/NathanBLawrence/status/991716518965624832", "991716518965624832")</f>
        <v/>
      </c>
      <c r="B1764" s="2" t="n">
        <v>43222.68769675926</v>
      </c>
      <c r="C1764" t="n">
        <v>0</v>
      </c>
      <c r="D1764" t="n">
        <v>1989</v>
      </c>
      <c r="E1764" t="s">
        <v>1771</v>
      </c>
      <c r="F1764" t="s"/>
      <c r="G1764" t="s"/>
      <c r="H1764" t="s"/>
      <c r="I1764" t="s"/>
      <c r="J1764" t="n">
        <v>-0.2942</v>
      </c>
      <c r="K1764" t="n">
        <v>0.123</v>
      </c>
      <c r="L1764" t="n">
        <v>0.805</v>
      </c>
      <c r="M1764" t="n">
        <v>0.07199999999999999</v>
      </c>
    </row>
    <row r="1765" spans="1:13">
      <c r="A1765" s="1">
        <f>HYPERLINK("http://www.twitter.com/NathanBLawrence/status/991716176555212801", "991716176555212801")</f>
        <v/>
      </c>
      <c r="B1765" s="2" t="n">
        <v>43222.68675925926</v>
      </c>
      <c r="C1765" t="n">
        <v>0</v>
      </c>
      <c r="D1765" t="n">
        <v>8964</v>
      </c>
      <c r="E1765" t="s">
        <v>1772</v>
      </c>
      <c r="F1765" t="s"/>
      <c r="G1765" t="s"/>
      <c r="H1765" t="s"/>
      <c r="I1765" t="s"/>
      <c r="J1765" t="n">
        <v>-0.6124000000000001</v>
      </c>
      <c r="K1765" t="n">
        <v>0.217</v>
      </c>
      <c r="L1765" t="n">
        <v>0.783</v>
      </c>
      <c r="M1765" t="n">
        <v>0</v>
      </c>
    </row>
    <row r="1766" spans="1:13">
      <c r="A1766" s="1">
        <f>HYPERLINK("http://www.twitter.com/NathanBLawrence/status/991716107420557312", "991716107420557312")</f>
        <v/>
      </c>
      <c r="B1766" s="2" t="n">
        <v>43222.6865625</v>
      </c>
      <c r="C1766" t="n">
        <v>0</v>
      </c>
      <c r="D1766" t="n">
        <v>2523</v>
      </c>
      <c r="E1766" t="s">
        <v>1773</v>
      </c>
      <c r="F1766" t="s"/>
      <c r="G1766" t="s"/>
      <c r="H1766" t="s"/>
      <c r="I1766" t="s"/>
      <c r="J1766" t="n">
        <v>-0.4574</v>
      </c>
      <c r="K1766" t="n">
        <v>0.115</v>
      </c>
      <c r="L1766" t="n">
        <v>0.885</v>
      </c>
      <c r="M1766" t="n">
        <v>0</v>
      </c>
    </row>
    <row r="1767" spans="1:13">
      <c r="A1767" s="1">
        <f>HYPERLINK("http://www.twitter.com/NathanBLawrence/status/991716055587278848", "991716055587278848")</f>
        <v/>
      </c>
      <c r="B1767" s="2" t="n">
        <v>43222.68642361111</v>
      </c>
      <c r="C1767" t="n">
        <v>0</v>
      </c>
      <c r="D1767" t="n">
        <v>3496</v>
      </c>
      <c r="E1767" t="s">
        <v>1774</v>
      </c>
      <c r="F1767" t="s"/>
      <c r="G1767" t="s"/>
      <c r="H1767" t="s"/>
      <c r="I1767" t="s"/>
      <c r="J1767" t="n">
        <v>0.6124000000000001</v>
      </c>
      <c r="K1767" t="n">
        <v>0</v>
      </c>
      <c r="L1767" t="n">
        <v>0.8</v>
      </c>
      <c r="M1767" t="n">
        <v>0.2</v>
      </c>
    </row>
    <row r="1768" spans="1:13">
      <c r="A1768" s="1">
        <f>HYPERLINK("http://www.twitter.com/NathanBLawrence/status/991711649294831616", "991711649294831616")</f>
        <v/>
      </c>
      <c r="B1768" s="2" t="n">
        <v>43222.67425925926</v>
      </c>
      <c r="C1768" t="n">
        <v>0</v>
      </c>
      <c r="D1768" t="n">
        <v>1091</v>
      </c>
      <c r="E1768" t="s">
        <v>1775</v>
      </c>
      <c r="F1768" t="s"/>
      <c r="G1768" t="s"/>
      <c r="H1768" t="s"/>
      <c r="I1768" t="s"/>
      <c r="J1768" t="n">
        <v>-0.296</v>
      </c>
      <c r="K1768" t="n">
        <v>0.08699999999999999</v>
      </c>
      <c r="L1768" t="n">
        <v>0.913</v>
      </c>
      <c r="M1768" t="n">
        <v>0</v>
      </c>
    </row>
    <row r="1769" spans="1:13">
      <c r="A1769" s="1">
        <f>HYPERLINK("http://www.twitter.com/NathanBLawrence/status/991711467752714241", "991711467752714241")</f>
        <v/>
      </c>
      <c r="B1769" s="2" t="n">
        <v>43222.67376157407</v>
      </c>
      <c r="C1769" t="n">
        <v>2</v>
      </c>
      <c r="D1769" t="n">
        <v>0</v>
      </c>
      <c r="E1769" t="s">
        <v>1776</v>
      </c>
      <c r="F1769" t="s"/>
      <c r="G1769" t="s"/>
      <c r="H1769" t="s"/>
      <c r="I1769" t="s"/>
      <c r="J1769" t="n">
        <v>-0.9216</v>
      </c>
      <c r="K1769" t="n">
        <v>0.284</v>
      </c>
      <c r="L1769" t="n">
        <v>0.669</v>
      </c>
      <c r="M1769" t="n">
        <v>0.047</v>
      </c>
    </row>
    <row r="1770" spans="1:13">
      <c r="A1770" s="1">
        <f>HYPERLINK("http://www.twitter.com/NathanBLawrence/status/991711051786829826", "991711051786829826")</f>
        <v/>
      </c>
      <c r="B1770" s="2" t="n">
        <v>43222.67261574074</v>
      </c>
      <c r="C1770" t="n">
        <v>0</v>
      </c>
      <c r="D1770" t="n">
        <v>0</v>
      </c>
      <c r="E1770" t="s">
        <v>1777</v>
      </c>
      <c r="F1770" t="s"/>
      <c r="G1770" t="s"/>
      <c r="H1770" t="s"/>
      <c r="I1770" t="s"/>
      <c r="J1770" t="n">
        <v>-0.9216</v>
      </c>
      <c r="K1770" t="n">
        <v>0.271</v>
      </c>
      <c r="L1770" t="n">
        <v>0.6850000000000001</v>
      </c>
      <c r="M1770" t="n">
        <v>0.044</v>
      </c>
    </row>
    <row r="1771" spans="1:13">
      <c r="A1771" s="1">
        <f>HYPERLINK("http://www.twitter.com/NathanBLawrence/status/991709558446804992", "991709558446804992")</f>
        <v/>
      </c>
      <c r="B1771" s="2" t="n">
        <v>43222.66849537037</v>
      </c>
      <c r="C1771" t="n">
        <v>1</v>
      </c>
      <c r="D1771" t="n">
        <v>0</v>
      </c>
      <c r="E1771" t="s">
        <v>1778</v>
      </c>
      <c r="F1771" t="s"/>
      <c r="G1771" t="s"/>
      <c r="H1771" t="s"/>
      <c r="I1771" t="s"/>
      <c r="J1771" t="n">
        <v>-0.802</v>
      </c>
      <c r="K1771" t="n">
        <v>0.219</v>
      </c>
      <c r="L1771" t="n">
        <v>0.731</v>
      </c>
      <c r="M1771" t="n">
        <v>0.05</v>
      </c>
    </row>
    <row r="1772" spans="1:13">
      <c r="A1772" s="1">
        <f>HYPERLINK("http://www.twitter.com/NathanBLawrence/status/991584354911440897", "991584354911440897")</f>
        <v/>
      </c>
      <c r="B1772" s="2" t="n">
        <v>43222.32299768519</v>
      </c>
      <c r="C1772" t="n">
        <v>0</v>
      </c>
      <c r="D1772" t="n">
        <v>17</v>
      </c>
      <c r="E1772" t="s">
        <v>1779</v>
      </c>
      <c r="F1772" t="s"/>
      <c r="G1772" t="s"/>
      <c r="H1772" t="s"/>
      <c r="I1772" t="s"/>
      <c r="J1772" t="n">
        <v>0</v>
      </c>
      <c r="K1772" t="n">
        <v>0.121</v>
      </c>
      <c r="L1772" t="n">
        <v>0.759</v>
      </c>
      <c r="M1772" t="n">
        <v>0.121</v>
      </c>
    </row>
    <row r="1773" spans="1:13">
      <c r="A1773" s="1">
        <f>HYPERLINK("http://www.twitter.com/NathanBLawrence/status/991582748769861634", "991582748769861634")</f>
        <v/>
      </c>
      <c r="B1773" s="2" t="n">
        <v>43222.31856481481</v>
      </c>
      <c r="C1773" t="n">
        <v>0</v>
      </c>
      <c r="D1773" t="n">
        <v>17</v>
      </c>
      <c r="E1773" t="s">
        <v>1780</v>
      </c>
      <c r="F1773">
        <f>HYPERLINK("http://pbs.twimg.com/media/DcJaQShWAAAeR28.jpg", "http://pbs.twimg.com/media/DcJaQShWAAAeR28.jpg")</f>
        <v/>
      </c>
      <c r="G1773" t="s"/>
      <c r="H1773" t="s"/>
      <c r="I1773" t="s"/>
      <c r="J1773" t="n">
        <v>0.6486</v>
      </c>
      <c r="K1773" t="n">
        <v>0</v>
      </c>
      <c r="L1773" t="n">
        <v>0.773</v>
      </c>
      <c r="M1773" t="n">
        <v>0.227</v>
      </c>
    </row>
    <row r="1774" spans="1:13">
      <c r="A1774" s="1">
        <f>HYPERLINK("http://www.twitter.com/NathanBLawrence/status/991582176700329984", "991582176700329984")</f>
        <v/>
      </c>
      <c r="B1774" s="2" t="n">
        <v>43222.31699074074</v>
      </c>
      <c r="C1774" t="n">
        <v>0</v>
      </c>
      <c r="D1774" t="n">
        <v>5</v>
      </c>
      <c r="E1774" t="s">
        <v>1781</v>
      </c>
      <c r="F1774" t="s"/>
      <c r="G1774" t="s"/>
      <c r="H1774" t="s"/>
      <c r="I1774" t="s"/>
      <c r="J1774" t="n">
        <v>-0.2263</v>
      </c>
      <c r="K1774" t="n">
        <v>0.083</v>
      </c>
      <c r="L1774" t="n">
        <v>0.917</v>
      </c>
      <c r="M1774" t="n">
        <v>0</v>
      </c>
    </row>
    <row r="1775" spans="1:13">
      <c r="A1775" s="1">
        <f>HYPERLINK("http://www.twitter.com/NathanBLawrence/status/991582075722448897", "991582075722448897")</f>
        <v/>
      </c>
      <c r="B1775" s="2" t="n">
        <v>43222.31671296297</v>
      </c>
      <c r="C1775" t="n">
        <v>0</v>
      </c>
      <c r="D1775" t="n">
        <v>40</v>
      </c>
      <c r="E1775" t="s">
        <v>1782</v>
      </c>
      <c r="F1775">
        <f>HYPERLINK("http://pbs.twimg.com/media/DcEP1EyVAAAAJtl.jpg", "http://pbs.twimg.com/media/DcEP1EyVAAAAJtl.jpg")</f>
        <v/>
      </c>
      <c r="G1775" t="s"/>
      <c r="H1775" t="s"/>
      <c r="I1775" t="s"/>
      <c r="J1775" t="n">
        <v>0</v>
      </c>
      <c r="K1775" t="n">
        <v>0</v>
      </c>
      <c r="L1775" t="n">
        <v>1</v>
      </c>
      <c r="M1775" t="n">
        <v>0</v>
      </c>
    </row>
    <row r="1776" spans="1:13">
      <c r="A1776" s="1">
        <f>HYPERLINK("http://www.twitter.com/NathanBLawrence/status/991579833984434176", "991579833984434176")</f>
        <v/>
      </c>
      <c r="B1776" s="2" t="n">
        <v>43222.31052083334</v>
      </c>
      <c r="C1776" t="n">
        <v>0</v>
      </c>
      <c r="D1776" t="n">
        <v>5853</v>
      </c>
      <c r="E1776" t="s">
        <v>1783</v>
      </c>
      <c r="F1776" t="s"/>
      <c r="G1776" t="s"/>
      <c r="H1776" t="s"/>
      <c r="I1776" t="s"/>
      <c r="J1776" t="n">
        <v>-0.4939</v>
      </c>
      <c r="K1776" t="n">
        <v>0.176</v>
      </c>
      <c r="L1776" t="n">
        <v>0.824</v>
      </c>
      <c r="M1776" t="n">
        <v>0</v>
      </c>
    </row>
    <row r="1777" spans="1:13">
      <c r="A1777" s="1">
        <f>HYPERLINK("http://www.twitter.com/NathanBLawrence/status/991579727474278401", "991579727474278401")</f>
        <v/>
      </c>
      <c r="B1777" s="2" t="n">
        <v>43222.31023148148</v>
      </c>
      <c r="C1777" t="n">
        <v>0</v>
      </c>
      <c r="D1777" t="n">
        <v>733</v>
      </c>
      <c r="E1777" t="s">
        <v>1784</v>
      </c>
      <c r="F1777" t="s"/>
      <c r="G1777" t="s"/>
      <c r="H1777" t="s"/>
      <c r="I1777" t="s"/>
      <c r="J1777" t="n">
        <v>0</v>
      </c>
      <c r="K1777" t="n">
        <v>0</v>
      </c>
      <c r="L1777" t="n">
        <v>1</v>
      </c>
      <c r="M1777" t="n">
        <v>0</v>
      </c>
    </row>
    <row r="1778" spans="1:13">
      <c r="A1778" s="1">
        <f>HYPERLINK("http://www.twitter.com/NathanBLawrence/status/991579687284428801", "991579687284428801")</f>
        <v/>
      </c>
      <c r="B1778" s="2" t="n">
        <v>43222.31011574074</v>
      </c>
      <c r="C1778" t="n">
        <v>0</v>
      </c>
      <c r="D1778" t="n">
        <v>3578</v>
      </c>
      <c r="E1778" t="s">
        <v>1785</v>
      </c>
      <c r="F1778" t="s"/>
      <c r="G1778" t="s"/>
      <c r="H1778" t="s"/>
      <c r="I1778" t="s"/>
      <c r="J1778" t="n">
        <v>0.5306999999999999</v>
      </c>
      <c r="K1778" t="n">
        <v>0.11</v>
      </c>
      <c r="L1778" t="n">
        <v>0.674</v>
      </c>
      <c r="M1778" t="n">
        <v>0.215</v>
      </c>
    </row>
    <row r="1779" spans="1:13">
      <c r="A1779" s="1">
        <f>HYPERLINK("http://www.twitter.com/NathanBLawrence/status/991579527687036929", "991579527687036929")</f>
        <v/>
      </c>
      <c r="B1779" s="2" t="n">
        <v>43222.30967592593</v>
      </c>
      <c r="C1779" t="n">
        <v>0</v>
      </c>
      <c r="D1779" t="n">
        <v>2491</v>
      </c>
      <c r="E1779" t="s">
        <v>1786</v>
      </c>
      <c r="F1779" t="s"/>
      <c r="G1779" t="s"/>
      <c r="H1779" t="s"/>
      <c r="I1779" t="s"/>
      <c r="J1779" t="n">
        <v>-0.0772</v>
      </c>
      <c r="K1779" t="n">
        <v>0.117</v>
      </c>
      <c r="L1779" t="n">
        <v>0.778</v>
      </c>
      <c r="M1779" t="n">
        <v>0.105</v>
      </c>
    </row>
    <row r="1780" spans="1:13">
      <c r="A1780" s="1">
        <f>HYPERLINK("http://www.twitter.com/NathanBLawrence/status/991579408744955904", "991579408744955904")</f>
        <v/>
      </c>
      <c r="B1780" s="2" t="n">
        <v>43222.30935185185</v>
      </c>
      <c r="C1780" t="n">
        <v>0</v>
      </c>
      <c r="D1780" t="n">
        <v>2678</v>
      </c>
      <c r="E1780" t="s">
        <v>1787</v>
      </c>
      <c r="F1780">
        <f>HYPERLINK("http://pbs.twimg.com/media/DcJ-MUmV4AERqCJ.jpg", "http://pbs.twimg.com/media/DcJ-MUmV4AERqCJ.jpg")</f>
        <v/>
      </c>
      <c r="G1780" t="s"/>
      <c r="H1780" t="s"/>
      <c r="I1780" t="s"/>
      <c r="J1780" t="n">
        <v>0</v>
      </c>
      <c r="K1780" t="n">
        <v>0</v>
      </c>
      <c r="L1780" t="n">
        <v>1</v>
      </c>
      <c r="M1780" t="n">
        <v>0</v>
      </c>
    </row>
    <row r="1781" spans="1:13">
      <c r="A1781" s="1">
        <f>HYPERLINK("http://www.twitter.com/NathanBLawrence/status/991579351568211968", "991579351568211968")</f>
        <v/>
      </c>
      <c r="B1781" s="2" t="n">
        <v>43222.30918981481</v>
      </c>
      <c r="C1781" t="n">
        <v>0</v>
      </c>
      <c r="D1781" t="n">
        <v>1102</v>
      </c>
      <c r="E1781" t="s">
        <v>1788</v>
      </c>
      <c r="F1781">
        <f>HYPERLINK("http://pbs.twimg.com/media/DcKNS_GV4AAnsE-.jpg", "http://pbs.twimg.com/media/DcKNS_GV4AAnsE-.jpg")</f>
        <v/>
      </c>
      <c r="G1781" t="s"/>
      <c r="H1781" t="s"/>
      <c r="I1781" t="s"/>
      <c r="J1781" t="n">
        <v>0.5106000000000001</v>
      </c>
      <c r="K1781" t="n">
        <v>0</v>
      </c>
      <c r="L1781" t="n">
        <v>0.829</v>
      </c>
      <c r="M1781" t="n">
        <v>0.171</v>
      </c>
    </row>
    <row r="1782" spans="1:13">
      <c r="A1782" s="1">
        <f>HYPERLINK("http://www.twitter.com/NathanBLawrence/status/991579216335458305", "991579216335458305")</f>
        <v/>
      </c>
      <c r="B1782" s="2" t="n">
        <v>43222.30881944444</v>
      </c>
      <c r="C1782" t="n">
        <v>0</v>
      </c>
      <c r="D1782" t="n">
        <v>711</v>
      </c>
      <c r="E1782" t="s">
        <v>1789</v>
      </c>
      <c r="F1782">
        <f>HYPERLINK("https://video.twimg.com/ext_tw_video/991504221349408770/pu/vid/1280x720/i7-rRhfSiiRLq0_R.mp4?tag=3", "https://video.twimg.com/ext_tw_video/991504221349408770/pu/vid/1280x720/i7-rRhfSiiRLq0_R.mp4?tag=3")</f>
        <v/>
      </c>
      <c r="G1782" t="s"/>
      <c r="H1782" t="s"/>
      <c r="I1782" t="s"/>
      <c r="J1782" t="n">
        <v>0.5719</v>
      </c>
      <c r="K1782" t="n">
        <v>0</v>
      </c>
      <c r="L1782" t="n">
        <v>0.856</v>
      </c>
      <c r="M1782" t="n">
        <v>0.144</v>
      </c>
    </row>
    <row r="1783" spans="1:13">
      <c r="A1783" s="1">
        <f>HYPERLINK("http://www.twitter.com/NathanBLawrence/status/991579067290828800", "991579067290828800")</f>
        <v/>
      </c>
      <c r="B1783" s="2" t="n">
        <v>43222.30840277778</v>
      </c>
      <c r="C1783" t="n">
        <v>0</v>
      </c>
      <c r="D1783" t="n">
        <v>939</v>
      </c>
      <c r="E1783" t="s">
        <v>1790</v>
      </c>
      <c r="F1783">
        <f>HYPERLINK("http://pbs.twimg.com/media/DcJ69lnUQAAmKVn.jpg", "http://pbs.twimg.com/media/DcJ69lnUQAAmKVn.jpg")</f>
        <v/>
      </c>
      <c r="G1783">
        <f>HYPERLINK("http://pbs.twimg.com/media/DcJ69lnVMAARokW.jpg", "http://pbs.twimg.com/media/DcJ69lnVMAARokW.jpg")</f>
        <v/>
      </c>
      <c r="H1783" t="s"/>
      <c r="I1783" t="s"/>
      <c r="J1783" t="n">
        <v>-0.2755</v>
      </c>
      <c r="K1783" t="n">
        <v>0.1</v>
      </c>
      <c r="L1783" t="n">
        <v>0.9</v>
      </c>
      <c r="M1783" t="n">
        <v>0</v>
      </c>
    </row>
    <row r="1784" spans="1:13">
      <c r="A1784" s="1">
        <f>HYPERLINK("http://www.twitter.com/NathanBLawrence/status/991578901120872448", "991578901120872448")</f>
        <v/>
      </c>
      <c r="B1784" s="2" t="n">
        <v>43222.30795138889</v>
      </c>
      <c r="C1784" t="n">
        <v>0</v>
      </c>
      <c r="D1784" t="n">
        <v>511</v>
      </c>
      <c r="E1784" t="s">
        <v>1791</v>
      </c>
      <c r="F1784">
        <f>HYPERLINK("http://pbs.twimg.com/media/DcKByBrVAAAtw_y.jpg", "http://pbs.twimg.com/media/DcKByBrVAAAtw_y.jpg")</f>
        <v/>
      </c>
      <c r="G1784" t="s"/>
      <c r="H1784" t="s"/>
      <c r="I1784" t="s"/>
      <c r="J1784" t="n">
        <v>-0.4767</v>
      </c>
      <c r="K1784" t="n">
        <v>0.224</v>
      </c>
      <c r="L1784" t="n">
        <v>0.6830000000000001</v>
      </c>
      <c r="M1784" t="n">
        <v>0.093</v>
      </c>
    </row>
    <row r="1785" spans="1:13">
      <c r="A1785" s="1">
        <f>HYPERLINK("http://www.twitter.com/NathanBLawrence/status/991578854958424064", "991578854958424064")</f>
        <v/>
      </c>
      <c r="B1785" s="2" t="n">
        <v>43222.30782407407</v>
      </c>
      <c r="C1785" t="n">
        <v>0</v>
      </c>
      <c r="D1785" t="n">
        <v>1200</v>
      </c>
      <c r="E1785" t="s">
        <v>1792</v>
      </c>
      <c r="F1785" t="s"/>
      <c r="G1785" t="s"/>
      <c r="H1785" t="s"/>
      <c r="I1785" t="s"/>
      <c r="J1785" t="n">
        <v>0</v>
      </c>
      <c r="K1785" t="n">
        <v>0</v>
      </c>
      <c r="L1785" t="n">
        <v>1</v>
      </c>
      <c r="M1785" t="n">
        <v>0</v>
      </c>
    </row>
    <row r="1786" spans="1:13">
      <c r="A1786" s="1">
        <f>HYPERLINK("http://www.twitter.com/NathanBLawrence/status/991578823085867008", "991578823085867008")</f>
        <v/>
      </c>
      <c r="B1786" s="2" t="n">
        <v>43222.30773148148</v>
      </c>
      <c r="C1786" t="n">
        <v>0</v>
      </c>
      <c r="D1786" t="n">
        <v>55</v>
      </c>
      <c r="E1786" t="s">
        <v>1793</v>
      </c>
      <c r="F1786" t="s"/>
      <c r="G1786" t="s"/>
      <c r="H1786" t="s"/>
      <c r="I1786" t="s"/>
      <c r="J1786" t="n">
        <v>-0.4939</v>
      </c>
      <c r="K1786" t="n">
        <v>0.244</v>
      </c>
      <c r="L1786" t="n">
        <v>0.756</v>
      </c>
      <c r="M1786" t="n">
        <v>0</v>
      </c>
    </row>
    <row r="1787" spans="1:13">
      <c r="A1787" s="1">
        <f>HYPERLINK("http://www.twitter.com/NathanBLawrence/status/991578202412756993", "991578202412756993")</f>
        <v/>
      </c>
      <c r="B1787" s="2" t="n">
        <v>43222.30601851852</v>
      </c>
      <c r="C1787" t="n">
        <v>0</v>
      </c>
      <c r="D1787" t="n">
        <v>1124</v>
      </c>
      <c r="E1787" t="s">
        <v>1794</v>
      </c>
      <c r="F1787" t="s"/>
      <c r="G1787" t="s"/>
      <c r="H1787" t="s"/>
      <c r="I1787" t="s"/>
      <c r="J1787" t="n">
        <v>0</v>
      </c>
      <c r="K1787" t="n">
        <v>0</v>
      </c>
      <c r="L1787" t="n">
        <v>1</v>
      </c>
      <c r="M1787" t="n">
        <v>0</v>
      </c>
    </row>
    <row r="1788" spans="1:13">
      <c r="A1788" s="1">
        <f>HYPERLINK("http://www.twitter.com/NathanBLawrence/status/991577910627581952", "991577910627581952")</f>
        <v/>
      </c>
      <c r="B1788" s="2" t="n">
        <v>43222.30521990741</v>
      </c>
      <c r="C1788" t="n">
        <v>0</v>
      </c>
      <c r="D1788" t="n">
        <v>6</v>
      </c>
      <c r="E1788" t="s">
        <v>1795</v>
      </c>
      <c r="F1788" t="s"/>
      <c r="G1788" t="s"/>
      <c r="H1788" t="s"/>
      <c r="I1788" t="s"/>
      <c r="J1788" t="n">
        <v>-0.2732</v>
      </c>
      <c r="K1788" t="n">
        <v>0.174</v>
      </c>
      <c r="L1788" t="n">
        <v>0.826</v>
      </c>
      <c r="M1788" t="n">
        <v>0</v>
      </c>
    </row>
    <row r="1789" spans="1:13">
      <c r="A1789" s="1">
        <f>HYPERLINK("http://www.twitter.com/NathanBLawrence/status/991577656343724033", "991577656343724033")</f>
        <v/>
      </c>
      <c r="B1789" s="2" t="n">
        <v>43222.30451388889</v>
      </c>
      <c r="C1789" t="n">
        <v>0</v>
      </c>
      <c r="D1789" t="n">
        <v>1</v>
      </c>
      <c r="E1789" t="s">
        <v>1796</v>
      </c>
      <c r="F1789">
        <f>HYPERLINK("http://pbs.twimg.com/media/DcKAXHLVAAAm9aq.jpg", "http://pbs.twimg.com/media/DcKAXHLVAAAm9aq.jpg")</f>
        <v/>
      </c>
      <c r="G1789" t="s"/>
      <c r="H1789" t="s"/>
      <c r="I1789" t="s"/>
      <c r="J1789" t="n">
        <v>0.4019</v>
      </c>
      <c r="K1789" t="n">
        <v>0</v>
      </c>
      <c r="L1789" t="n">
        <v>0.856</v>
      </c>
      <c r="M1789" t="n">
        <v>0.144</v>
      </c>
    </row>
    <row r="1790" spans="1:13">
      <c r="A1790" s="1">
        <f>HYPERLINK("http://www.twitter.com/NathanBLawrence/status/991577592808464384", "991577592808464384")</f>
        <v/>
      </c>
      <c r="B1790" s="2" t="n">
        <v>43222.30434027778</v>
      </c>
      <c r="C1790" t="n">
        <v>2</v>
      </c>
      <c r="D1790" t="n">
        <v>0</v>
      </c>
      <c r="E1790" t="s">
        <v>1797</v>
      </c>
      <c r="F1790" t="s"/>
      <c r="G1790" t="s"/>
      <c r="H1790" t="s"/>
      <c r="I1790" t="s"/>
      <c r="J1790" t="n">
        <v>0</v>
      </c>
      <c r="K1790" t="n">
        <v>0</v>
      </c>
      <c r="L1790" t="n">
        <v>1</v>
      </c>
      <c r="M1790" t="n">
        <v>0</v>
      </c>
    </row>
    <row r="1791" spans="1:13">
      <c r="A1791" s="1">
        <f>HYPERLINK("http://www.twitter.com/NathanBLawrence/status/991577004775374848", "991577004775374848")</f>
        <v/>
      </c>
      <c r="B1791" s="2" t="n">
        <v>43222.30271990741</v>
      </c>
      <c r="C1791" t="n">
        <v>0</v>
      </c>
      <c r="D1791" t="n">
        <v>0</v>
      </c>
      <c r="E1791" t="s">
        <v>1798</v>
      </c>
      <c r="F1791" t="s"/>
      <c r="G1791" t="s"/>
      <c r="H1791" t="s"/>
      <c r="I1791" t="s"/>
      <c r="J1791" t="n">
        <v>-0.4871</v>
      </c>
      <c r="K1791" t="n">
        <v>0.08500000000000001</v>
      </c>
      <c r="L1791" t="n">
        <v>0.88</v>
      </c>
      <c r="M1791" t="n">
        <v>0.035</v>
      </c>
    </row>
    <row r="1792" spans="1:13">
      <c r="A1792" s="1">
        <f>HYPERLINK("http://www.twitter.com/NathanBLawrence/status/991575087827402752", "991575087827402752")</f>
        <v/>
      </c>
      <c r="B1792" s="2" t="n">
        <v>43222.29743055555</v>
      </c>
      <c r="C1792" t="n">
        <v>0</v>
      </c>
      <c r="D1792" t="n">
        <v>2910</v>
      </c>
      <c r="E1792" t="s">
        <v>1799</v>
      </c>
      <c r="F1792" t="s"/>
      <c r="G1792" t="s"/>
      <c r="H1792" t="s"/>
      <c r="I1792" t="s"/>
      <c r="J1792" t="n">
        <v>0.0772</v>
      </c>
      <c r="K1792" t="n">
        <v>0.082</v>
      </c>
      <c r="L1792" t="n">
        <v>0.823</v>
      </c>
      <c r="M1792" t="n">
        <v>0.095</v>
      </c>
    </row>
    <row r="1793" spans="1:13">
      <c r="A1793" s="1">
        <f>HYPERLINK("http://www.twitter.com/NathanBLawrence/status/991575048518492165", "991575048518492165")</f>
        <v/>
      </c>
      <c r="B1793" s="2" t="n">
        <v>43222.29731481482</v>
      </c>
      <c r="C1793" t="n">
        <v>0</v>
      </c>
      <c r="D1793" t="n">
        <v>611</v>
      </c>
      <c r="E1793" t="s">
        <v>1800</v>
      </c>
      <c r="F1793" t="s"/>
      <c r="G1793" t="s"/>
      <c r="H1793" t="s"/>
      <c r="I1793" t="s"/>
      <c r="J1793" t="n">
        <v>0</v>
      </c>
      <c r="K1793" t="n">
        <v>0</v>
      </c>
      <c r="L1793" t="n">
        <v>1</v>
      </c>
      <c r="M1793" t="n">
        <v>0</v>
      </c>
    </row>
    <row r="1794" spans="1:13">
      <c r="A1794" s="1">
        <f>HYPERLINK("http://www.twitter.com/NathanBLawrence/status/991574566324420608", "991574566324420608")</f>
        <v/>
      </c>
      <c r="B1794" s="2" t="n">
        <v>43222.2959837963</v>
      </c>
      <c r="C1794" t="n">
        <v>4</v>
      </c>
      <c r="D1794" t="n">
        <v>2</v>
      </c>
      <c r="E1794" t="s">
        <v>1801</v>
      </c>
      <c r="F1794" t="s"/>
      <c r="G1794" t="s"/>
      <c r="H1794" t="s"/>
      <c r="I1794" t="s"/>
      <c r="J1794" t="n">
        <v>0.7399</v>
      </c>
      <c r="K1794" t="n">
        <v>0</v>
      </c>
      <c r="L1794" t="n">
        <v>0.85</v>
      </c>
      <c r="M1794" t="n">
        <v>0.15</v>
      </c>
    </row>
    <row r="1795" spans="1:13">
      <c r="A1795" s="1">
        <f>HYPERLINK("http://www.twitter.com/NathanBLawrence/status/991574157312708609", "991574157312708609")</f>
        <v/>
      </c>
      <c r="B1795" s="2" t="n">
        <v>43222.29486111111</v>
      </c>
      <c r="C1795" t="n">
        <v>0</v>
      </c>
      <c r="D1795" t="n">
        <v>1</v>
      </c>
      <c r="E1795" t="s">
        <v>1802</v>
      </c>
      <c r="F1795" t="s"/>
      <c r="G1795" t="s"/>
      <c r="H1795" t="s"/>
      <c r="I1795" t="s"/>
      <c r="J1795" t="n">
        <v>-0.1779</v>
      </c>
      <c r="K1795" t="n">
        <v>0.102</v>
      </c>
      <c r="L1795" t="n">
        <v>0.898</v>
      </c>
      <c r="M1795" t="n">
        <v>0</v>
      </c>
    </row>
    <row r="1796" spans="1:13">
      <c r="A1796" s="1">
        <f>HYPERLINK("http://www.twitter.com/NathanBLawrence/status/991573814826885120", "991573814826885120")</f>
        <v/>
      </c>
      <c r="B1796" s="2" t="n">
        <v>43222.29391203704</v>
      </c>
      <c r="C1796" t="n">
        <v>0</v>
      </c>
      <c r="D1796" t="n">
        <v>3</v>
      </c>
      <c r="E1796" t="s">
        <v>1803</v>
      </c>
      <c r="F1796" t="s"/>
      <c r="G1796" t="s"/>
      <c r="H1796" t="s"/>
      <c r="I1796" t="s"/>
      <c r="J1796" t="n">
        <v>0</v>
      </c>
      <c r="K1796" t="n">
        <v>0</v>
      </c>
      <c r="L1796" t="n">
        <v>1</v>
      </c>
      <c r="M1796" t="n">
        <v>0</v>
      </c>
    </row>
    <row r="1797" spans="1:13">
      <c r="A1797" s="1">
        <f>HYPERLINK("http://www.twitter.com/NathanBLawrence/status/991573706848616448", "991573706848616448")</f>
        <v/>
      </c>
      <c r="B1797" s="2" t="n">
        <v>43222.29361111111</v>
      </c>
      <c r="C1797" t="n">
        <v>4</v>
      </c>
      <c r="D1797" t="n">
        <v>3</v>
      </c>
      <c r="E1797" t="s">
        <v>1804</v>
      </c>
      <c r="F1797" t="s"/>
      <c r="G1797" t="s"/>
      <c r="H1797" t="s"/>
      <c r="I1797" t="s"/>
      <c r="J1797" t="n">
        <v>0.4696</v>
      </c>
      <c r="K1797" t="n">
        <v>0</v>
      </c>
      <c r="L1797" t="n">
        <v>0.927</v>
      </c>
      <c r="M1797" t="n">
        <v>0.073</v>
      </c>
    </row>
    <row r="1798" spans="1:13">
      <c r="A1798" s="1">
        <f>HYPERLINK("http://www.twitter.com/NathanBLawrence/status/991571194565378048", "991571194565378048")</f>
        <v/>
      </c>
      <c r="B1798" s="2" t="n">
        <v>43222.28667824074</v>
      </c>
      <c r="C1798" t="n">
        <v>0</v>
      </c>
      <c r="D1798" t="n">
        <v>46</v>
      </c>
      <c r="E1798" t="s">
        <v>1805</v>
      </c>
      <c r="F1798" t="s"/>
      <c r="G1798" t="s"/>
      <c r="H1798" t="s"/>
      <c r="I1798" t="s"/>
      <c r="J1798" t="n">
        <v>-0.6143999999999999</v>
      </c>
      <c r="K1798" t="n">
        <v>0.179</v>
      </c>
      <c r="L1798" t="n">
        <v>0.821</v>
      </c>
      <c r="M1798" t="n">
        <v>0</v>
      </c>
    </row>
    <row r="1799" spans="1:13">
      <c r="A1799" s="1">
        <f>HYPERLINK("http://www.twitter.com/NathanBLawrence/status/991570996489478144", "991570996489478144")</f>
        <v/>
      </c>
      <c r="B1799" s="2" t="n">
        <v>43222.28613425926</v>
      </c>
      <c r="C1799" t="n">
        <v>0</v>
      </c>
      <c r="D1799" t="n">
        <v>5</v>
      </c>
      <c r="E1799" t="s">
        <v>1806</v>
      </c>
      <c r="F1799" t="s"/>
      <c r="G1799" t="s"/>
      <c r="H1799" t="s"/>
      <c r="I1799" t="s"/>
      <c r="J1799" t="n">
        <v>-0.3147</v>
      </c>
      <c r="K1799" t="n">
        <v>0.187</v>
      </c>
      <c r="L1799" t="n">
        <v>0.6899999999999999</v>
      </c>
      <c r="M1799" t="n">
        <v>0.123</v>
      </c>
    </row>
    <row r="1800" spans="1:13">
      <c r="A1800" s="1">
        <f>HYPERLINK("http://www.twitter.com/NathanBLawrence/status/991570820517498884", "991570820517498884")</f>
        <v/>
      </c>
      <c r="B1800" s="2" t="n">
        <v>43222.28564814815</v>
      </c>
      <c r="C1800" t="n">
        <v>0</v>
      </c>
      <c r="D1800" t="n">
        <v>0</v>
      </c>
      <c r="E1800" t="s">
        <v>1807</v>
      </c>
      <c r="F1800" t="s"/>
      <c r="G1800" t="s"/>
      <c r="H1800" t="s"/>
      <c r="I1800" t="s"/>
      <c r="J1800" t="n">
        <v>0</v>
      </c>
      <c r="K1800" t="n">
        <v>0</v>
      </c>
      <c r="L1800" t="n">
        <v>1</v>
      </c>
      <c r="M1800" t="n">
        <v>0</v>
      </c>
    </row>
    <row r="1801" spans="1:13">
      <c r="A1801" s="1">
        <f>HYPERLINK("http://www.twitter.com/NathanBLawrence/status/991570564723572736", "991570564723572736")</f>
        <v/>
      </c>
      <c r="B1801" s="2" t="n">
        <v>43222.28494212963</v>
      </c>
      <c r="C1801" t="n">
        <v>0</v>
      </c>
      <c r="D1801" t="n">
        <v>5</v>
      </c>
      <c r="E1801" t="s">
        <v>1808</v>
      </c>
      <c r="F1801" t="s"/>
      <c r="G1801" t="s"/>
      <c r="H1801" t="s"/>
      <c r="I1801" t="s"/>
      <c r="J1801" t="n">
        <v>0</v>
      </c>
      <c r="K1801" t="n">
        <v>0</v>
      </c>
      <c r="L1801" t="n">
        <v>1</v>
      </c>
      <c r="M1801" t="n">
        <v>0</v>
      </c>
    </row>
    <row r="1802" spans="1:13">
      <c r="A1802" s="1">
        <f>HYPERLINK("http://www.twitter.com/NathanBLawrence/status/991570482833977344", "991570482833977344")</f>
        <v/>
      </c>
      <c r="B1802" s="2" t="n">
        <v>43222.28472222222</v>
      </c>
      <c r="C1802" t="n">
        <v>0</v>
      </c>
      <c r="D1802" t="n">
        <v>4</v>
      </c>
      <c r="E1802" t="s">
        <v>1809</v>
      </c>
      <c r="F1802" t="s"/>
      <c r="G1802" t="s"/>
      <c r="H1802" t="s"/>
      <c r="I1802" t="s"/>
      <c r="J1802" t="n">
        <v>0.4404</v>
      </c>
      <c r="K1802" t="n">
        <v>0</v>
      </c>
      <c r="L1802" t="n">
        <v>0.8179999999999999</v>
      </c>
      <c r="M1802" t="n">
        <v>0.182</v>
      </c>
    </row>
    <row r="1803" spans="1:13">
      <c r="A1803" s="1">
        <f>HYPERLINK("http://www.twitter.com/NathanBLawrence/status/991570303795974144", "991570303795974144")</f>
        <v/>
      </c>
      <c r="B1803" s="2" t="n">
        <v>43222.28422453703</v>
      </c>
      <c r="C1803" t="n">
        <v>0</v>
      </c>
      <c r="D1803" t="n">
        <v>3</v>
      </c>
      <c r="E1803" t="s">
        <v>1810</v>
      </c>
      <c r="F1803" t="s"/>
      <c r="G1803" t="s"/>
      <c r="H1803" t="s"/>
      <c r="I1803" t="s"/>
      <c r="J1803" t="n">
        <v>-0.1779</v>
      </c>
      <c r="K1803" t="n">
        <v>0.116</v>
      </c>
      <c r="L1803" t="n">
        <v>0.884</v>
      </c>
      <c r="M1803" t="n">
        <v>0</v>
      </c>
    </row>
    <row r="1804" spans="1:13">
      <c r="A1804" s="1">
        <f>HYPERLINK("http://www.twitter.com/NathanBLawrence/status/991570167342624769", "991570167342624769")</f>
        <v/>
      </c>
      <c r="B1804" s="2" t="n">
        <v>43222.28385416666</v>
      </c>
      <c r="C1804" t="n">
        <v>3</v>
      </c>
      <c r="D1804" t="n">
        <v>0</v>
      </c>
      <c r="E1804" t="s">
        <v>1811</v>
      </c>
      <c r="F1804" t="s"/>
      <c r="G1804" t="s"/>
      <c r="H1804" t="s"/>
      <c r="I1804" t="s"/>
      <c r="J1804" t="n">
        <v>-0.3818</v>
      </c>
      <c r="K1804" t="n">
        <v>0.082</v>
      </c>
      <c r="L1804" t="n">
        <v>0.879</v>
      </c>
      <c r="M1804" t="n">
        <v>0.038</v>
      </c>
    </row>
    <row r="1805" spans="1:13">
      <c r="A1805" s="1">
        <f>HYPERLINK("http://www.twitter.com/NathanBLawrence/status/991568270468661249", "991568270468661249")</f>
        <v/>
      </c>
      <c r="B1805" s="2" t="n">
        <v>43222.27861111111</v>
      </c>
      <c r="C1805" t="n">
        <v>3</v>
      </c>
      <c r="D1805" t="n">
        <v>0</v>
      </c>
      <c r="E1805" t="s">
        <v>1812</v>
      </c>
      <c r="F1805" t="s"/>
      <c r="G1805" t="s"/>
      <c r="H1805" t="s"/>
      <c r="I1805" t="s"/>
      <c r="J1805" t="n">
        <v>0.0516</v>
      </c>
      <c r="K1805" t="n">
        <v>0.07000000000000001</v>
      </c>
      <c r="L1805" t="n">
        <v>0.8110000000000001</v>
      </c>
      <c r="M1805" t="n">
        <v>0.119</v>
      </c>
    </row>
    <row r="1806" spans="1:13">
      <c r="A1806" s="1">
        <f>HYPERLINK("http://www.twitter.com/NathanBLawrence/status/991566474853543939", "991566474853543939")</f>
        <v/>
      </c>
      <c r="B1806" s="2" t="n">
        <v>43222.27365740741</v>
      </c>
      <c r="C1806" t="n">
        <v>0</v>
      </c>
      <c r="D1806" t="n">
        <v>2</v>
      </c>
      <c r="E1806" t="s">
        <v>1813</v>
      </c>
      <c r="F1806" t="s"/>
      <c r="G1806" t="s"/>
      <c r="H1806" t="s"/>
      <c r="I1806" t="s"/>
      <c r="J1806" t="n">
        <v>0</v>
      </c>
      <c r="K1806" t="n">
        <v>0</v>
      </c>
      <c r="L1806" t="n">
        <v>1</v>
      </c>
      <c r="M1806" t="n">
        <v>0</v>
      </c>
    </row>
    <row r="1807" spans="1:13">
      <c r="A1807" s="1">
        <f>HYPERLINK("http://www.twitter.com/NathanBLawrence/status/991566137698566144", "991566137698566144")</f>
        <v/>
      </c>
      <c r="B1807" s="2" t="n">
        <v>43222.27273148148</v>
      </c>
      <c r="C1807" t="n">
        <v>0</v>
      </c>
      <c r="D1807" t="n">
        <v>3</v>
      </c>
      <c r="E1807" t="s">
        <v>1814</v>
      </c>
      <c r="F1807" t="s"/>
      <c r="G1807" t="s"/>
      <c r="H1807" t="s"/>
      <c r="I1807" t="s"/>
      <c r="J1807" t="n">
        <v>0.5362</v>
      </c>
      <c r="K1807" t="n">
        <v>0</v>
      </c>
      <c r="L1807" t="n">
        <v>0.839</v>
      </c>
      <c r="M1807" t="n">
        <v>0.161</v>
      </c>
    </row>
    <row r="1808" spans="1:13">
      <c r="A1808" s="1">
        <f>HYPERLINK("http://www.twitter.com/NathanBLawrence/status/991565753814925312", "991565753814925312")</f>
        <v/>
      </c>
      <c r="B1808" s="2" t="n">
        <v>43222.27166666667</v>
      </c>
      <c r="C1808" t="n">
        <v>0</v>
      </c>
      <c r="D1808" t="n">
        <v>3</v>
      </c>
      <c r="E1808" t="s">
        <v>1815</v>
      </c>
      <c r="F1808" t="s"/>
      <c r="G1808" t="s"/>
      <c r="H1808" t="s"/>
      <c r="I1808" t="s"/>
      <c r="J1808" t="n">
        <v>0</v>
      </c>
      <c r="K1808" t="n">
        <v>0</v>
      </c>
      <c r="L1808" t="n">
        <v>1</v>
      </c>
      <c r="M1808" t="n">
        <v>0</v>
      </c>
    </row>
    <row r="1809" spans="1:13">
      <c r="A1809" s="1">
        <f>HYPERLINK("http://www.twitter.com/NathanBLawrence/status/991565366043144193", "991565366043144193")</f>
        <v/>
      </c>
      <c r="B1809" s="2" t="n">
        <v>43222.27060185185</v>
      </c>
      <c r="C1809" t="n">
        <v>0</v>
      </c>
      <c r="D1809" t="n">
        <v>0</v>
      </c>
      <c r="E1809" t="s">
        <v>1816</v>
      </c>
      <c r="F1809" t="s"/>
      <c r="G1809" t="s"/>
      <c r="H1809" t="s"/>
      <c r="I1809" t="s"/>
      <c r="J1809" t="n">
        <v>0.128</v>
      </c>
      <c r="K1809" t="n">
        <v>0</v>
      </c>
      <c r="L1809" t="n">
        <v>0.952</v>
      </c>
      <c r="M1809" t="n">
        <v>0.048</v>
      </c>
    </row>
    <row r="1810" spans="1:13">
      <c r="A1810" s="1">
        <f>HYPERLINK("http://www.twitter.com/NathanBLawrence/status/991563736476364800", "991563736476364800")</f>
        <v/>
      </c>
      <c r="B1810" s="2" t="n">
        <v>43222.26609953704</v>
      </c>
      <c r="C1810" t="n">
        <v>0</v>
      </c>
      <c r="D1810" t="n">
        <v>0</v>
      </c>
      <c r="E1810" t="s">
        <v>1817</v>
      </c>
      <c r="F1810" t="s"/>
      <c r="G1810" t="s"/>
      <c r="H1810" t="s"/>
      <c r="I1810" t="s"/>
      <c r="J1810" t="n">
        <v>-0.7351</v>
      </c>
      <c r="K1810" t="n">
        <v>0.22</v>
      </c>
      <c r="L1810" t="n">
        <v>0.733</v>
      </c>
      <c r="M1810" t="n">
        <v>0.047</v>
      </c>
    </row>
    <row r="1811" spans="1:13">
      <c r="A1811" s="1">
        <f>HYPERLINK("http://www.twitter.com/NathanBLawrence/status/991558207326699522", "991558207326699522")</f>
        <v/>
      </c>
      <c r="B1811" s="2" t="n">
        <v>43222.25084490741</v>
      </c>
      <c r="C1811" t="n">
        <v>0</v>
      </c>
      <c r="D1811" t="n">
        <v>0</v>
      </c>
      <c r="E1811" t="s">
        <v>1818</v>
      </c>
      <c r="F1811" t="s"/>
      <c r="G1811" t="s"/>
      <c r="H1811" t="s"/>
      <c r="I1811" t="s"/>
      <c r="J1811" t="n">
        <v>0</v>
      </c>
      <c r="K1811" t="n">
        <v>0</v>
      </c>
      <c r="L1811" t="n">
        <v>1</v>
      </c>
      <c r="M1811" t="n">
        <v>0</v>
      </c>
    </row>
    <row r="1812" spans="1:13">
      <c r="A1812" s="1">
        <f>HYPERLINK("http://www.twitter.com/NathanBLawrence/status/991557932255821824", "991557932255821824")</f>
        <v/>
      </c>
      <c r="B1812" s="2" t="n">
        <v>43222.25008101852</v>
      </c>
      <c r="C1812" t="n">
        <v>0</v>
      </c>
      <c r="D1812" t="n">
        <v>0</v>
      </c>
      <c r="E1812" t="s">
        <v>1819</v>
      </c>
      <c r="F1812" t="s"/>
      <c r="G1812" t="s"/>
      <c r="H1812" t="s"/>
      <c r="I1812" t="s"/>
      <c r="J1812" t="n">
        <v>-0.7784</v>
      </c>
      <c r="K1812" t="n">
        <v>0.191</v>
      </c>
      <c r="L1812" t="n">
        <v>0.758</v>
      </c>
      <c r="M1812" t="n">
        <v>0.051</v>
      </c>
    </row>
    <row r="1813" spans="1:13">
      <c r="A1813" s="1">
        <f>HYPERLINK("http://www.twitter.com/NathanBLawrence/status/991551623250898944", "991551623250898944")</f>
        <v/>
      </c>
      <c r="B1813" s="2" t="n">
        <v>43222.23267361111</v>
      </c>
      <c r="C1813" t="n">
        <v>0</v>
      </c>
      <c r="D1813" t="n">
        <v>2</v>
      </c>
      <c r="E1813" t="s">
        <v>1820</v>
      </c>
      <c r="F1813" t="s"/>
      <c r="G1813" t="s"/>
      <c r="H1813" t="s"/>
      <c r="I1813" t="s"/>
      <c r="J1813" t="n">
        <v>-0.5266999999999999</v>
      </c>
      <c r="K1813" t="n">
        <v>0.134</v>
      </c>
      <c r="L1813" t="n">
        <v>0.866</v>
      </c>
      <c r="M1813" t="n">
        <v>0</v>
      </c>
    </row>
    <row r="1814" spans="1:13">
      <c r="A1814" s="1">
        <f>HYPERLINK("http://www.twitter.com/NathanBLawrence/status/991551600937205760", "991551600937205760")</f>
        <v/>
      </c>
      <c r="B1814" s="2" t="n">
        <v>43222.23261574074</v>
      </c>
      <c r="C1814" t="n">
        <v>0</v>
      </c>
      <c r="D1814" t="n">
        <v>3</v>
      </c>
      <c r="E1814" t="s">
        <v>1821</v>
      </c>
      <c r="F1814" t="s"/>
      <c r="G1814" t="s"/>
      <c r="H1814" t="s"/>
      <c r="I1814" t="s"/>
      <c r="J1814" t="n">
        <v>0.3619</v>
      </c>
      <c r="K1814" t="n">
        <v>0.098</v>
      </c>
      <c r="L1814" t="n">
        <v>0.745</v>
      </c>
      <c r="M1814" t="n">
        <v>0.157</v>
      </c>
    </row>
    <row r="1815" spans="1:13">
      <c r="A1815" s="1">
        <f>HYPERLINK("http://www.twitter.com/NathanBLawrence/status/991551502186565632", "991551502186565632")</f>
        <v/>
      </c>
      <c r="B1815" s="2" t="n">
        <v>43222.23233796296</v>
      </c>
      <c r="C1815" t="n">
        <v>0</v>
      </c>
      <c r="D1815" t="n">
        <v>0</v>
      </c>
      <c r="E1815" t="s">
        <v>1822</v>
      </c>
      <c r="F1815" t="s"/>
      <c r="G1815" t="s"/>
      <c r="H1815" t="s"/>
      <c r="I1815" t="s"/>
      <c r="J1815" t="n">
        <v>0.2919</v>
      </c>
      <c r="K1815" t="n">
        <v>0.07199999999999999</v>
      </c>
      <c r="L1815" t="n">
        <v>0.825</v>
      </c>
      <c r="M1815" t="n">
        <v>0.103</v>
      </c>
    </row>
    <row r="1816" spans="1:13">
      <c r="A1816" s="1">
        <f>HYPERLINK("http://www.twitter.com/NathanBLawrence/status/991550014986977280", "991550014986977280")</f>
        <v/>
      </c>
      <c r="B1816" s="2" t="n">
        <v>43222.22824074074</v>
      </c>
      <c r="C1816" t="n">
        <v>0</v>
      </c>
      <c r="D1816" t="n">
        <v>13</v>
      </c>
      <c r="E1816" t="s">
        <v>1823</v>
      </c>
      <c r="F1816" t="s"/>
      <c r="G1816" t="s"/>
      <c r="H1816" t="s"/>
      <c r="I1816" t="s"/>
      <c r="J1816" t="n">
        <v>-0.1316</v>
      </c>
      <c r="K1816" t="n">
        <v>0.07000000000000001</v>
      </c>
      <c r="L1816" t="n">
        <v>0.93</v>
      </c>
      <c r="M1816" t="n">
        <v>0</v>
      </c>
    </row>
    <row r="1817" spans="1:13">
      <c r="A1817" s="1">
        <f>HYPERLINK("http://www.twitter.com/NathanBLawrence/status/991549126285213697", "991549126285213697")</f>
        <v/>
      </c>
      <c r="B1817" s="2" t="n">
        <v>43222.22578703704</v>
      </c>
      <c r="C1817" t="n">
        <v>0</v>
      </c>
      <c r="D1817" t="n">
        <v>7</v>
      </c>
      <c r="E1817" t="s">
        <v>1824</v>
      </c>
      <c r="F1817" t="s"/>
      <c r="G1817" t="s"/>
      <c r="H1817" t="s"/>
      <c r="I1817" t="s"/>
      <c r="J1817" t="n">
        <v>-0.6124000000000001</v>
      </c>
      <c r="K1817" t="n">
        <v>0.238</v>
      </c>
      <c r="L1817" t="n">
        <v>0.762</v>
      </c>
      <c r="M1817" t="n">
        <v>0</v>
      </c>
    </row>
    <row r="1818" spans="1:13">
      <c r="A1818" s="1">
        <f>HYPERLINK("http://www.twitter.com/NathanBLawrence/status/991548663553028096", "991548663553028096")</f>
        <v/>
      </c>
      <c r="B1818" s="2" t="n">
        <v>43222.22451388889</v>
      </c>
      <c r="C1818" t="n">
        <v>0</v>
      </c>
      <c r="D1818" t="n">
        <v>6</v>
      </c>
      <c r="E1818" t="s">
        <v>1825</v>
      </c>
      <c r="F1818" t="s"/>
      <c r="G1818" t="s"/>
      <c r="H1818" t="s"/>
      <c r="I1818" t="s"/>
      <c r="J1818" t="n">
        <v>0</v>
      </c>
      <c r="K1818" t="n">
        <v>0</v>
      </c>
      <c r="L1818" t="n">
        <v>1</v>
      </c>
      <c r="M1818" t="n">
        <v>0</v>
      </c>
    </row>
    <row r="1819" spans="1:13">
      <c r="A1819" s="1">
        <f>HYPERLINK("http://www.twitter.com/NathanBLawrence/status/991548510435594240", "991548510435594240")</f>
        <v/>
      </c>
      <c r="B1819" s="2" t="n">
        <v>43222.22408564815</v>
      </c>
      <c r="C1819" t="n">
        <v>0</v>
      </c>
      <c r="D1819" t="n">
        <v>5</v>
      </c>
      <c r="E1819" t="s">
        <v>1826</v>
      </c>
      <c r="F1819" t="s"/>
      <c r="G1819" t="s"/>
      <c r="H1819" t="s"/>
      <c r="I1819" t="s"/>
      <c r="J1819" t="n">
        <v>-0.5994</v>
      </c>
      <c r="K1819" t="n">
        <v>0.197</v>
      </c>
      <c r="L1819" t="n">
        <v>0.803</v>
      </c>
      <c r="M1819" t="n">
        <v>0</v>
      </c>
    </row>
    <row r="1820" spans="1:13">
      <c r="A1820" s="1">
        <f>HYPERLINK("http://www.twitter.com/NathanBLawrence/status/991547704235909120", "991547704235909120")</f>
        <v/>
      </c>
      <c r="B1820" s="2" t="n">
        <v>43222.22186342593</v>
      </c>
      <c r="C1820" t="n">
        <v>0</v>
      </c>
      <c r="D1820" t="n">
        <v>8277</v>
      </c>
      <c r="E1820" t="s">
        <v>1827</v>
      </c>
      <c r="F1820" t="s"/>
      <c r="G1820" t="s"/>
      <c r="H1820" t="s"/>
      <c r="I1820" t="s"/>
      <c r="J1820" t="n">
        <v>0.3612</v>
      </c>
      <c r="K1820" t="n">
        <v>0.151</v>
      </c>
      <c r="L1820" t="n">
        <v>0.573</v>
      </c>
      <c r="M1820" t="n">
        <v>0.276</v>
      </c>
    </row>
    <row r="1821" spans="1:13">
      <c r="A1821" s="1">
        <f>HYPERLINK("http://www.twitter.com/NathanBLawrence/status/991547554343997442", "991547554343997442")</f>
        <v/>
      </c>
      <c r="B1821" s="2" t="n">
        <v>43222.22144675926</v>
      </c>
      <c r="C1821" t="n">
        <v>0</v>
      </c>
      <c r="D1821" t="n">
        <v>1268</v>
      </c>
      <c r="E1821" t="s">
        <v>1828</v>
      </c>
      <c r="F1821" t="s"/>
      <c r="G1821" t="s"/>
      <c r="H1821" t="s"/>
      <c r="I1821" t="s"/>
      <c r="J1821" t="n">
        <v>0.2732</v>
      </c>
      <c r="K1821" t="n">
        <v>0</v>
      </c>
      <c r="L1821" t="n">
        <v>0.861</v>
      </c>
      <c r="M1821" t="n">
        <v>0.139</v>
      </c>
    </row>
    <row r="1822" spans="1:13">
      <c r="A1822" s="1">
        <f>HYPERLINK("http://www.twitter.com/NathanBLawrence/status/991547464883748864", "991547464883748864")</f>
        <v/>
      </c>
      <c r="B1822" s="2" t="n">
        <v>43222.2212037037</v>
      </c>
      <c r="C1822" t="n">
        <v>0</v>
      </c>
      <c r="D1822" t="n">
        <v>13</v>
      </c>
      <c r="E1822" t="s">
        <v>1829</v>
      </c>
      <c r="F1822">
        <f>HYPERLINK("http://pbs.twimg.com/media/DcKUW7mWAAA7Osp.jpg", "http://pbs.twimg.com/media/DcKUW7mWAAA7Osp.jpg")</f>
        <v/>
      </c>
      <c r="G1822" t="s"/>
      <c r="H1822" t="s"/>
      <c r="I1822" t="s"/>
      <c r="J1822" t="n">
        <v>0.4404</v>
      </c>
      <c r="K1822" t="n">
        <v>0</v>
      </c>
      <c r="L1822" t="n">
        <v>0.854</v>
      </c>
      <c r="M1822" t="n">
        <v>0.146</v>
      </c>
    </row>
    <row r="1823" spans="1:13">
      <c r="A1823" s="1">
        <f>HYPERLINK("http://www.twitter.com/NathanBLawrence/status/991545633768181760", "991545633768181760")</f>
        <v/>
      </c>
      <c r="B1823" s="2" t="n">
        <v>43222.21614583334</v>
      </c>
      <c r="C1823" t="n">
        <v>0</v>
      </c>
      <c r="D1823" t="n">
        <v>15</v>
      </c>
      <c r="E1823" t="s">
        <v>1830</v>
      </c>
      <c r="F1823">
        <f>HYPERLINK("http://pbs.twimg.com/media/DcJAujXXkAARzS6.jpg", "http://pbs.twimg.com/media/DcJAujXXkAARzS6.jpg")</f>
        <v/>
      </c>
      <c r="G1823" t="s"/>
      <c r="H1823" t="s"/>
      <c r="I1823" t="s"/>
      <c r="J1823" t="n">
        <v>0</v>
      </c>
      <c r="K1823" t="n">
        <v>0</v>
      </c>
      <c r="L1823" t="n">
        <v>1</v>
      </c>
      <c r="M1823" t="n">
        <v>0</v>
      </c>
    </row>
    <row r="1824" spans="1:13">
      <c r="A1824" s="1">
        <f>HYPERLINK("http://www.twitter.com/NathanBLawrence/status/991545546698457088", "991545546698457088")</f>
        <v/>
      </c>
      <c r="B1824" s="2" t="n">
        <v>43222.21591435185</v>
      </c>
      <c r="C1824" t="n">
        <v>0</v>
      </c>
      <c r="D1824" t="n">
        <v>4</v>
      </c>
      <c r="E1824" t="s">
        <v>1831</v>
      </c>
      <c r="F1824" t="s"/>
      <c r="G1824" t="s"/>
      <c r="H1824" t="s"/>
      <c r="I1824" t="s"/>
      <c r="J1824" t="n">
        <v>0</v>
      </c>
      <c r="K1824" t="n">
        <v>0</v>
      </c>
      <c r="L1824" t="n">
        <v>1</v>
      </c>
      <c r="M1824" t="n">
        <v>0</v>
      </c>
    </row>
    <row r="1825" spans="1:13">
      <c r="A1825" s="1">
        <f>HYPERLINK("http://www.twitter.com/NathanBLawrence/status/991545442604208129", "991545442604208129")</f>
        <v/>
      </c>
      <c r="B1825" s="2" t="n">
        <v>43222.215625</v>
      </c>
      <c r="C1825" t="n">
        <v>0</v>
      </c>
      <c r="D1825" t="n">
        <v>7</v>
      </c>
      <c r="E1825" t="s">
        <v>1832</v>
      </c>
      <c r="F1825" t="s"/>
      <c r="G1825" t="s"/>
      <c r="H1825" t="s"/>
      <c r="I1825" t="s"/>
      <c r="J1825" t="n">
        <v>-0.7783</v>
      </c>
      <c r="K1825" t="n">
        <v>0.375</v>
      </c>
      <c r="L1825" t="n">
        <v>0.625</v>
      </c>
      <c r="M1825" t="n">
        <v>0</v>
      </c>
    </row>
    <row r="1826" spans="1:13">
      <c r="A1826" s="1">
        <f>HYPERLINK("http://www.twitter.com/NathanBLawrence/status/991545291647082496", "991545291647082496")</f>
        <v/>
      </c>
      <c r="B1826" s="2" t="n">
        <v>43222.21520833333</v>
      </c>
      <c r="C1826" t="n">
        <v>0</v>
      </c>
      <c r="D1826" t="n">
        <v>5</v>
      </c>
      <c r="E1826" t="s">
        <v>1833</v>
      </c>
      <c r="F1826" t="s"/>
      <c r="G1826" t="s"/>
      <c r="H1826" t="s"/>
      <c r="I1826" t="s"/>
      <c r="J1826" t="n">
        <v>0.8481</v>
      </c>
      <c r="K1826" t="n">
        <v>0</v>
      </c>
      <c r="L1826" t="n">
        <v>0.545</v>
      </c>
      <c r="M1826" t="n">
        <v>0.455</v>
      </c>
    </row>
    <row r="1827" spans="1:13">
      <c r="A1827" s="1">
        <f>HYPERLINK("http://www.twitter.com/NathanBLawrence/status/991544893318180867", "991544893318180867")</f>
        <v/>
      </c>
      <c r="B1827" s="2" t="n">
        <v>43222.2141087963</v>
      </c>
      <c r="C1827" t="n">
        <v>0</v>
      </c>
      <c r="D1827" t="n">
        <v>2</v>
      </c>
      <c r="E1827" t="s">
        <v>1834</v>
      </c>
      <c r="F1827" t="s"/>
      <c r="G1827" t="s"/>
      <c r="H1827" t="s"/>
      <c r="I1827" t="s"/>
      <c r="J1827" t="n">
        <v>0</v>
      </c>
      <c r="K1827" t="n">
        <v>0</v>
      </c>
      <c r="L1827" t="n">
        <v>1</v>
      </c>
      <c r="M1827" t="n">
        <v>0</v>
      </c>
    </row>
    <row r="1828" spans="1:13">
      <c r="A1828" s="1">
        <f>HYPERLINK("http://www.twitter.com/NathanBLawrence/status/991544870413070338", "991544870413070338")</f>
        <v/>
      </c>
      <c r="B1828" s="2" t="n">
        <v>43222.21403935185</v>
      </c>
      <c r="C1828" t="n">
        <v>0</v>
      </c>
      <c r="D1828" t="n">
        <v>4</v>
      </c>
      <c r="E1828" t="s">
        <v>1835</v>
      </c>
      <c r="F1828" t="s"/>
      <c r="G1828" t="s"/>
      <c r="H1828" t="s"/>
      <c r="I1828" t="s"/>
      <c r="J1828" t="n">
        <v>0</v>
      </c>
      <c r="K1828" t="n">
        <v>0</v>
      </c>
      <c r="L1828" t="n">
        <v>1</v>
      </c>
      <c r="M1828" t="n">
        <v>0</v>
      </c>
    </row>
    <row r="1829" spans="1:13">
      <c r="A1829" s="1">
        <f>HYPERLINK("http://www.twitter.com/NathanBLawrence/status/991544838427365377", "991544838427365377")</f>
        <v/>
      </c>
      <c r="B1829" s="2" t="n">
        <v>43222.21395833333</v>
      </c>
      <c r="C1829" t="n">
        <v>0</v>
      </c>
      <c r="D1829" t="n">
        <v>1</v>
      </c>
      <c r="E1829" t="s">
        <v>1836</v>
      </c>
      <c r="F1829" t="s"/>
      <c r="G1829" t="s"/>
      <c r="H1829" t="s"/>
      <c r="I1829" t="s"/>
      <c r="J1829" t="n">
        <v>0</v>
      </c>
      <c r="K1829" t="n">
        <v>0</v>
      </c>
      <c r="L1829" t="n">
        <v>1</v>
      </c>
      <c r="M1829" t="n">
        <v>0</v>
      </c>
    </row>
    <row r="1830" spans="1:13">
      <c r="A1830" s="1">
        <f>HYPERLINK("http://www.twitter.com/NathanBLawrence/status/991544792654823424", "991544792654823424")</f>
        <v/>
      </c>
      <c r="B1830" s="2" t="n">
        <v>43222.21383101852</v>
      </c>
      <c r="C1830" t="n">
        <v>0</v>
      </c>
      <c r="D1830" t="n">
        <v>1</v>
      </c>
      <c r="E1830" t="s">
        <v>1837</v>
      </c>
      <c r="F1830" t="s"/>
      <c r="G1830" t="s"/>
      <c r="H1830" t="s"/>
      <c r="I1830" t="s"/>
      <c r="J1830" t="n">
        <v>0.4857</v>
      </c>
      <c r="K1830" t="n">
        <v>0.035</v>
      </c>
      <c r="L1830" t="n">
        <v>0.865</v>
      </c>
      <c r="M1830" t="n">
        <v>0.1</v>
      </c>
    </row>
    <row r="1831" spans="1:13">
      <c r="A1831" s="1">
        <f>HYPERLINK("http://www.twitter.com/NathanBLawrence/status/991542421275070464", "991542421275070464")</f>
        <v/>
      </c>
      <c r="B1831" s="2" t="n">
        <v>43222.2072800926</v>
      </c>
      <c r="C1831" t="n">
        <v>0</v>
      </c>
      <c r="D1831" t="n">
        <v>1</v>
      </c>
      <c r="E1831" t="s">
        <v>1838</v>
      </c>
      <c r="F1831">
        <f>HYPERLINK("http://pbs.twimg.com/media/DcHcqTVUwAAoQXO.jpg", "http://pbs.twimg.com/media/DcHcqTVUwAAoQXO.jpg")</f>
        <v/>
      </c>
      <c r="G1831" t="s"/>
      <c r="H1831" t="s"/>
      <c r="I1831" t="s"/>
      <c r="J1831" t="n">
        <v>0</v>
      </c>
      <c r="K1831" t="n">
        <v>0</v>
      </c>
      <c r="L1831" t="n">
        <v>1</v>
      </c>
      <c r="M1831" t="n">
        <v>0</v>
      </c>
    </row>
    <row r="1832" spans="1:13">
      <c r="A1832" s="1">
        <f>HYPERLINK("http://www.twitter.com/NathanBLawrence/status/991540661550661632", "991540661550661632")</f>
        <v/>
      </c>
      <c r="B1832" s="2" t="n">
        <v>43222.20243055555</v>
      </c>
      <c r="C1832" t="n">
        <v>0</v>
      </c>
      <c r="D1832" t="n">
        <v>9173</v>
      </c>
      <c r="E1832" t="s">
        <v>1839</v>
      </c>
      <c r="F1832">
        <f>HYPERLINK("http://pbs.twimg.com/media/DbuqAqrVMAEkJUm.jpg", "http://pbs.twimg.com/media/DbuqAqrVMAEkJUm.jpg")</f>
        <v/>
      </c>
      <c r="G1832" t="s"/>
      <c r="H1832" t="s"/>
      <c r="I1832" t="s"/>
      <c r="J1832" t="n">
        <v>0</v>
      </c>
      <c r="K1832" t="n">
        <v>0</v>
      </c>
      <c r="L1832" t="n">
        <v>1</v>
      </c>
      <c r="M1832" t="n">
        <v>0</v>
      </c>
    </row>
    <row r="1833" spans="1:13">
      <c r="A1833" s="1">
        <f>HYPERLINK("http://www.twitter.com/NathanBLawrence/status/991539102624317440", "991539102624317440")</f>
        <v/>
      </c>
      <c r="B1833" s="2" t="n">
        <v>43222.198125</v>
      </c>
      <c r="C1833" t="n">
        <v>2</v>
      </c>
      <c r="D1833" t="n">
        <v>0</v>
      </c>
      <c r="E1833" t="s">
        <v>1840</v>
      </c>
      <c r="F1833" t="s"/>
      <c r="G1833" t="s"/>
      <c r="H1833" t="s"/>
      <c r="I1833" t="s"/>
      <c r="J1833" t="n">
        <v>0.7059</v>
      </c>
      <c r="K1833" t="n">
        <v>0.031</v>
      </c>
      <c r="L1833" t="n">
        <v>0.806</v>
      </c>
      <c r="M1833" t="n">
        <v>0.163</v>
      </c>
    </row>
    <row r="1834" spans="1:13">
      <c r="A1834" s="1">
        <f>HYPERLINK("http://www.twitter.com/NathanBLawrence/status/991537827442642945", "991537827442642945")</f>
        <v/>
      </c>
      <c r="B1834" s="2" t="n">
        <v>43222.19460648148</v>
      </c>
      <c r="C1834" t="n">
        <v>0</v>
      </c>
      <c r="D1834" t="n">
        <v>0</v>
      </c>
      <c r="E1834" t="s">
        <v>1841</v>
      </c>
      <c r="F1834" t="s"/>
      <c r="G1834" t="s"/>
      <c r="H1834" t="s"/>
      <c r="I1834" t="s"/>
      <c r="J1834" t="n">
        <v>-0.0508</v>
      </c>
      <c r="K1834" t="n">
        <v>0.065</v>
      </c>
      <c r="L1834" t="n">
        <v>0.875</v>
      </c>
      <c r="M1834" t="n">
        <v>0.059</v>
      </c>
    </row>
    <row r="1835" spans="1:13">
      <c r="A1835" s="1">
        <f>HYPERLINK("http://www.twitter.com/NathanBLawrence/status/991534659023523841", "991534659023523841")</f>
        <v/>
      </c>
      <c r="B1835" s="2" t="n">
        <v>43222.18586805555</v>
      </c>
      <c r="C1835" t="n">
        <v>0</v>
      </c>
      <c r="D1835" t="n">
        <v>1</v>
      </c>
      <c r="E1835" t="s">
        <v>1842</v>
      </c>
      <c r="F1835" t="s"/>
      <c r="G1835" t="s"/>
      <c r="H1835" t="s"/>
      <c r="I1835" t="s"/>
      <c r="J1835" t="n">
        <v>0</v>
      </c>
      <c r="K1835" t="n">
        <v>0</v>
      </c>
      <c r="L1835" t="n">
        <v>1</v>
      </c>
      <c r="M1835" t="n">
        <v>0</v>
      </c>
    </row>
    <row r="1836" spans="1:13">
      <c r="A1836" s="1">
        <f>HYPERLINK("http://www.twitter.com/NathanBLawrence/status/991532758336921601", "991532758336921601")</f>
        <v/>
      </c>
      <c r="B1836" s="2" t="n">
        <v>43222.180625</v>
      </c>
      <c r="C1836" t="n">
        <v>0</v>
      </c>
      <c r="D1836" t="n">
        <v>1</v>
      </c>
      <c r="E1836" t="s">
        <v>1843</v>
      </c>
      <c r="F1836" t="s"/>
      <c r="G1836" t="s"/>
      <c r="H1836" t="s"/>
      <c r="I1836" t="s"/>
      <c r="J1836" t="n">
        <v>0</v>
      </c>
      <c r="K1836" t="n">
        <v>0</v>
      </c>
      <c r="L1836" t="n">
        <v>1</v>
      </c>
      <c r="M1836" t="n">
        <v>0</v>
      </c>
    </row>
    <row r="1837" spans="1:13">
      <c r="A1837" s="1">
        <f>HYPERLINK("http://www.twitter.com/NathanBLawrence/status/991532491683971072", "991532491683971072")</f>
        <v/>
      </c>
      <c r="B1837" s="2" t="n">
        <v>43222.17988425926</v>
      </c>
      <c r="C1837" t="n">
        <v>10</v>
      </c>
      <c r="D1837" t="n">
        <v>8</v>
      </c>
      <c r="E1837" t="s">
        <v>1844</v>
      </c>
      <c r="F1837" t="s"/>
      <c r="G1837" t="s"/>
      <c r="H1837" t="s"/>
      <c r="I1837" t="s"/>
      <c r="J1837" t="n">
        <v>-0.6369</v>
      </c>
      <c r="K1837" t="n">
        <v>0.15</v>
      </c>
      <c r="L1837" t="n">
        <v>0.85</v>
      </c>
      <c r="M1837" t="n">
        <v>0</v>
      </c>
    </row>
    <row r="1838" spans="1:13">
      <c r="A1838" s="1">
        <f>HYPERLINK("http://www.twitter.com/NathanBLawrence/status/991517090275147776", "991517090275147776")</f>
        <v/>
      </c>
      <c r="B1838" s="2" t="n">
        <v>43222.13738425926</v>
      </c>
      <c r="C1838" t="n">
        <v>0</v>
      </c>
      <c r="D1838" t="n">
        <v>6174</v>
      </c>
      <c r="E1838" t="s">
        <v>1845</v>
      </c>
      <c r="F1838" t="s"/>
      <c r="G1838" t="s"/>
      <c r="H1838" t="s"/>
      <c r="I1838" t="s"/>
      <c r="J1838" t="n">
        <v>0.2732</v>
      </c>
      <c r="K1838" t="n">
        <v>0</v>
      </c>
      <c r="L1838" t="n">
        <v>0.896</v>
      </c>
      <c r="M1838" t="n">
        <v>0.104</v>
      </c>
    </row>
    <row r="1839" spans="1:13">
      <c r="A1839" s="1">
        <f>HYPERLINK("http://www.twitter.com/NathanBLawrence/status/991517000709980161", "991517000709980161")</f>
        <v/>
      </c>
      <c r="B1839" s="2" t="n">
        <v>43222.1371412037</v>
      </c>
      <c r="C1839" t="n">
        <v>0</v>
      </c>
      <c r="D1839" t="n">
        <v>237</v>
      </c>
      <c r="E1839" t="s">
        <v>1846</v>
      </c>
      <c r="F1839" t="s"/>
      <c r="G1839" t="s"/>
      <c r="H1839" t="s"/>
      <c r="I1839" t="s"/>
      <c r="J1839" t="n">
        <v>0.788</v>
      </c>
      <c r="K1839" t="n">
        <v>0</v>
      </c>
      <c r="L1839" t="n">
        <v>0.651</v>
      </c>
      <c r="M1839" t="n">
        <v>0.349</v>
      </c>
    </row>
    <row r="1840" spans="1:13">
      <c r="A1840" s="1">
        <f>HYPERLINK("http://www.twitter.com/NathanBLawrence/status/991516943470419971", "991516943470419971")</f>
        <v/>
      </c>
      <c r="B1840" s="2" t="n">
        <v>43222.13697916667</v>
      </c>
      <c r="C1840" t="n">
        <v>0</v>
      </c>
      <c r="D1840" t="n">
        <v>12</v>
      </c>
      <c r="E1840" t="s">
        <v>1847</v>
      </c>
      <c r="F1840">
        <f>HYPERLINK("http://pbs.twimg.com/media/DcJHSf2UwAALy5c.jpg", "http://pbs.twimg.com/media/DcJHSf2UwAALy5c.jpg")</f>
        <v/>
      </c>
      <c r="G1840" t="s"/>
      <c r="H1840" t="s"/>
      <c r="I1840" t="s"/>
      <c r="J1840" t="n">
        <v>-0.2103</v>
      </c>
      <c r="K1840" t="n">
        <v>0.233</v>
      </c>
      <c r="L1840" t="n">
        <v>0.5629999999999999</v>
      </c>
      <c r="M1840" t="n">
        <v>0.204</v>
      </c>
    </row>
    <row r="1841" spans="1:13">
      <c r="A1841" s="1">
        <f>HYPERLINK("http://www.twitter.com/NathanBLawrence/status/991516684648308736", "991516684648308736")</f>
        <v/>
      </c>
      <c r="B1841" s="2" t="n">
        <v>43222.13626157407</v>
      </c>
      <c r="C1841" t="n">
        <v>0</v>
      </c>
      <c r="D1841" t="n">
        <v>711</v>
      </c>
      <c r="E1841" t="s">
        <v>1848</v>
      </c>
      <c r="F1841" t="s"/>
      <c r="G1841" t="s"/>
      <c r="H1841" t="s"/>
      <c r="I1841" t="s"/>
      <c r="J1841" t="n">
        <v>0</v>
      </c>
      <c r="K1841" t="n">
        <v>0</v>
      </c>
      <c r="L1841" t="n">
        <v>1</v>
      </c>
      <c r="M1841" t="n">
        <v>0</v>
      </c>
    </row>
    <row r="1842" spans="1:13">
      <c r="A1842" s="1">
        <f>HYPERLINK("http://www.twitter.com/NathanBLawrence/status/991516617413574656", "991516617413574656")</f>
        <v/>
      </c>
      <c r="B1842" s="2" t="n">
        <v>43222.13607638889</v>
      </c>
      <c r="C1842" t="n">
        <v>0</v>
      </c>
      <c r="D1842" t="n">
        <v>530</v>
      </c>
      <c r="E1842" t="s">
        <v>1849</v>
      </c>
      <c r="F1842" t="s"/>
      <c r="G1842" t="s"/>
      <c r="H1842" t="s"/>
      <c r="I1842" t="s"/>
      <c r="J1842" t="n">
        <v>-0.1989</v>
      </c>
      <c r="K1842" t="n">
        <v>0.13</v>
      </c>
      <c r="L1842" t="n">
        <v>0.77</v>
      </c>
      <c r="M1842" t="n">
        <v>0.1</v>
      </c>
    </row>
    <row r="1843" spans="1:13">
      <c r="A1843" s="1">
        <f>HYPERLINK("http://www.twitter.com/NathanBLawrence/status/991516190181806080", "991516190181806080")</f>
        <v/>
      </c>
      <c r="B1843" s="2" t="n">
        <v>43222.13489583333</v>
      </c>
      <c r="C1843" t="n">
        <v>1</v>
      </c>
      <c r="D1843" t="n">
        <v>1</v>
      </c>
      <c r="E1843" t="s">
        <v>1850</v>
      </c>
      <c r="F1843" t="s"/>
      <c r="G1843" t="s"/>
      <c r="H1843" t="s"/>
      <c r="I1843" t="s"/>
      <c r="J1843" t="n">
        <v>0.0516</v>
      </c>
      <c r="K1843" t="n">
        <v>0</v>
      </c>
      <c r="L1843" t="n">
        <v>0.926</v>
      </c>
      <c r="M1843" t="n">
        <v>0.074</v>
      </c>
    </row>
    <row r="1844" spans="1:13">
      <c r="A1844" s="1">
        <f>HYPERLINK("http://www.twitter.com/NathanBLawrence/status/991516055699795968", "991516055699795968")</f>
        <v/>
      </c>
      <c r="B1844" s="2" t="n">
        <v>43222.13452546296</v>
      </c>
      <c r="C1844" t="n">
        <v>1</v>
      </c>
      <c r="D1844" t="n">
        <v>0</v>
      </c>
      <c r="E1844" t="s">
        <v>1851</v>
      </c>
      <c r="F1844" t="s"/>
      <c r="G1844" t="s"/>
      <c r="H1844" t="s"/>
      <c r="I1844" t="s"/>
      <c r="J1844" t="n">
        <v>0.0516</v>
      </c>
      <c r="K1844" t="n">
        <v>0</v>
      </c>
      <c r="L1844" t="n">
        <v>0.954</v>
      </c>
      <c r="M1844" t="n">
        <v>0.046</v>
      </c>
    </row>
    <row r="1845" spans="1:13">
      <c r="A1845" s="1">
        <f>HYPERLINK("http://www.twitter.com/NathanBLawrence/status/991515257955745792", "991515257955745792")</f>
        <v/>
      </c>
      <c r="B1845" s="2" t="n">
        <v>43222.13232638889</v>
      </c>
      <c r="C1845" t="n">
        <v>0</v>
      </c>
      <c r="D1845" t="n">
        <v>491</v>
      </c>
      <c r="E1845" t="s">
        <v>1852</v>
      </c>
      <c r="F1845">
        <f>HYPERLINK("http://pbs.twimg.com/media/DcI3d1pX4AIJ2zq.jpg", "http://pbs.twimg.com/media/DcI3d1pX4AIJ2zq.jpg")</f>
        <v/>
      </c>
      <c r="G1845" t="s"/>
      <c r="H1845" t="s"/>
      <c r="I1845" t="s"/>
      <c r="J1845" t="n">
        <v>0.0258</v>
      </c>
      <c r="K1845" t="n">
        <v>0.056</v>
      </c>
      <c r="L1845" t="n">
        <v>0.884</v>
      </c>
      <c r="M1845" t="n">
        <v>0.06</v>
      </c>
    </row>
    <row r="1846" spans="1:13">
      <c r="A1846" s="1">
        <f>HYPERLINK("http://www.twitter.com/NathanBLawrence/status/991515127298994176", "991515127298994176")</f>
        <v/>
      </c>
      <c r="B1846" s="2" t="n">
        <v>43222.13196759259</v>
      </c>
      <c r="C1846" t="n">
        <v>0</v>
      </c>
      <c r="D1846" t="n">
        <v>0</v>
      </c>
      <c r="E1846" t="s">
        <v>1853</v>
      </c>
      <c r="F1846" t="s"/>
      <c r="G1846" t="s"/>
      <c r="H1846" t="s"/>
      <c r="I1846" t="s"/>
      <c r="J1846" t="n">
        <v>0.3612</v>
      </c>
      <c r="K1846" t="n">
        <v>0</v>
      </c>
      <c r="L1846" t="n">
        <v>0.857</v>
      </c>
      <c r="M1846" t="n">
        <v>0.143</v>
      </c>
    </row>
    <row r="1847" spans="1:13">
      <c r="A1847" s="1">
        <f>HYPERLINK("http://www.twitter.com/NathanBLawrence/status/991511068257103872", "991511068257103872")</f>
        <v/>
      </c>
      <c r="B1847" s="2" t="n">
        <v>43222.12076388889</v>
      </c>
      <c r="C1847" t="n">
        <v>4</v>
      </c>
      <c r="D1847" t="n">
        <v>3</v>
      </c>
      <c r="E1847" t="s">
        <v>1854</v>
      </c>
      <c r="F1847" t="s"/>
      <c r="G1847" t="s"/>
      <c r="H1847" t="s"/>
      <c r="I1847" t="s"/>
      <c r="J1847" t="n">
        <v>0</v>
      </c>
      <c r="K1847" t="n">
        <v>0</v>
      </c>
      <c r="L1847" t="n">
        <v>1</v>
      </c>
      <c r="M1847" t="n">
        <v>0</v>
      </c>
    </row>
    <row r="1848" spans="1:13">
      <c r="A1848" s="1">
        <f>HYPERLINK("http://www.twitter.com/NathanBLawrence/status/991507162433179648", "991507162433179648")</f>
        <v/>
      </c>
      <c r="B1848" s="2" t="n">
        <v>43222.10998842592</v>
      </c>
      <c r="C1848" t="n">
        <v>2</v>
      </c>
      <c r="D1848" t="n">
        <v>1</v>
      </c>
      <c r="E1848" t="s">
        <v>1855</v>
      </c>
      <c r="F1848" t="s"/>
      <c r="G1848" t="s"/>
      <c r="H1848" t="s"/>
      <c r="I1848" t="s"/>
      <c r="J1848" t="n">
        <v>-0.5423</v>
      </c>
      <c r="K1848" t="n">
        <v>0.241</v>
      </c>
      <c r="L1848" t="n">
        <v>0.759</v>
      </c>
      <c r="M1848" t="n">
        <v>0</v>
      </c>
    </row>
    <row r="1849" spans="1:13">
      <c r="A1849" s="1">
        <f>HYPERLINK("http://www.twitter.com/NathanBLawrence/status/991505900715163648", "991505900715163648")</f>
        <v/>
      </c>
      <c r="B1849" s="2" t="n">
        <v>43222.10650462963</v>
      </c>
      <c r="C1849" t="n">
        <v>0</v>
      </c>
      <c r="D1849" t="n">
        <v>2651</v>
      </c>
      <c r="E1849" t="s">
        <v>1856</v>
      </c>
      <c r="F1849">
        <f>HYPERLINK("http://pbs.twimg.com/media/DcJT0q3WkAAcBVe.jpg", "http://pbs.twimg.com/media/DcJT0q3WkAAcBVe.jpg")</f>
        <v/>
      </c>
      <c r="G1849" t="s"/>
      <c r="H1849" t="s"/>
      <c r="I1849" t="s"/>
      <c r="J1849" t="n">
        <v>0</v>
      </c>
      <c r="K1849" t="n">
        <v>0</v>
      </c>
      <c r="L1849" t="n">
        <v>1</v>
      </c>
      <c r="M1849" t="n">
        <v>0</v>
      </c>
    </row>
    <row r="1850" spans="1:13">
      <c r="A1850" s="1">
        <f>HYPERLINK("http://www.twitter.com/NathanBLawrence/status/991478275808489475", "991478275808489475")</f>
        <v/>
      </c>
      <c r="B1850" s="2" t="n">
        <v>43222.03027777778</v>
      </c>
      <c r="C1850" t="n">
        <v>0</v>
      </c>
      <c r="D1850" t="n">
        <v>862</v>
      </c>
      <c r="E1850" t="s">
        <v>1857</v>
      </c>
      <c r="F1850" t="s"/>
      <c r="G1850" t="s"/>
      <c r="H1850" t="s"/>
      <c r="I1850" t="s"/>
      <c r="J1850" t="n">
        <v>0</v>
      </c>
      <c r="K1850" t="n">
        <v>0</v>
      </c>
      <c r="L1850" t="n">
        <v>1</v>
      </c>
      <c r="M1850" t="n">
        <v>0</v>
      </c>
    </row>
    <row r="1851" spans="1:13">
      <c r="A1851" s="1">
        <f>HYPERLINK("http://www.twitter.com/NathanBLawrence/status/991456302198022145", "991456302198022145")</f>
        <v/>
      </c>
      <c r="B1851" s="2" t="n">
        <v>43221.9696412037</v>
      </c>
      <c r="C1851" t="n">
        <v>0</v>
      </c>
      <c r="D1851" t="n">
        <v>1</v>
      </c>
      <c r="E1851" t="s">
        <v>1858</v>
      </c>
      <c r="F1851" t="s"/>
      <c r="G1851" t="s"/>
      <c r="H1851" t="s"/>
      <c r="I1851" t="s"/>
      <c r="J1851" t="n">
        <v>-0.3818</v>
      </c>
      <c r="K1851" t="n">
        <v>0.138</v>
      </c>
      <c r="L1851" t="n">
        <v>0.784</v>
      </c>
      <c r="M1851" t="n">
        <v>0.078</v>
      </c>
    </row>
    <row r="1852" spans="1:13">
      <c r="A1852" s="1">
        <f>HYPERLINK("http://www.twitter.com/NathanBLawrence/status/991454413179961344", "991454413179961344")</f>
        <v/>
      </c>
      <c r="B1852" s="2" t="n">
        <v>43221.96443287037</v>
      </c>
      <c r="C1852" t="n">
        <v>0</v>
      </c>
      <c r="D1852" t="n">
        <v>355</v>
      </c>
      <c r="E1852" t="s">
        <v>1859</v>
      </c>
      <c r="F1852" t="s"/>
      <c r="G1852" t="s"/>
      <c r="H1852" t="s"/>
      <c r="I1852" t="s"/>
      <c r="J1852" t="n">
        <v>0.6369</v>
      </c>
      <c r="K1852" t="n">
        <v>0</v>
      </c>
      <c r="L1852" t="n">
        <v>0.851</v>
      </c>
      <c r="M1852" t="n">
        <v>0.149</v>
      </c>
    </row>
    <row r="1853" spans="1:13">
      <c r="A1853" s="1">
        <f>HYPERLINK("http://www.twitter.com/NathanBLawrence/status/991454290978918400", "991454290978918400")</f>
        <v/>
      </c>
      <c r="B1853" s="2" t="n">
        <v>43221.96408564815</v>
      </c>
      <c r="C1853" t="n">
        <v>0</v>
      </c>
      <c r="D1853" t="n">
        <v>15460</v>
      </c>
      <c r="E1853" t="s">
        <v>1860</v>
      </c>
      <c r="F1853">
        <f>HYPERLINK("https://video.twimg.com/ext_tw_video/991401973114163201/pu/vid/1280x720/dXV0XjBY1lWTianC.mp4?tag=3", "https://video.twimg.com/ext_tw_video/991401973114163201/pu/vid/1280x720/dXV0XjBY1lWTianC.mp4?tag=3")</f>
        <v/>
      </c>
      <c r="G1853" t="s"/>
      <c r="H1853" t="s"/>
      <c r="I1853" t="s"/>
      <c r="J1853" t="n">
        <v>0.9468</v>
      </c>
      <c r="K1853" t="n">
        <v>0</v>
      </c>
      <c r="L1853" t="n">
        <v>0.509</v>
      </c>
      <c r="M1853" t="n">
        <v>0.491</v>
      </c>
    </row>
    <row r="1854" spans="1:13">
      <c r="A1854" s="1">
        <f>HYPERLINK("http://www.twitter.com/NathanBLawrence/status/991419280552968192", "991419280552968192")</f>
        <v/>
      </c>
      <c r="B1854" s="2" t="n">
        <v>43221.86747685185</v>
      </c>
      <c r="C1854" t="n">
        <v>5</v>
      </c>
      <c r="D1854" t="n">
        <v>3</v>
      </c>
      <c r="E1854" t="s">
        <v>1861</v>
      </c>
      <c r="F1854" t="s"/>
      <c r="G1854" t="s"/>
      <c r="H1854" t="s"/>
      <c r="I1854" t="s"/>
      <c r="J1854" t="n">
        <v>-0.5574</v>
      </c>
      <c r="K1854" t="n">
        <v>0.265</v>
      </c>
      <c r="L1854" t="n">
        <v>0.735</v>
      </c>
      <c r="M1854" t="n">
        <v>0</v>
      </c>
    </row>
    <row r="1855" spans="1:13">
      <c r="A1855" s="1">
        <f>HYPERLINK("http://www.twitter.com/NathanBLawrence/status/991418684542304256", "991418684542304256")</f>
        <v/>
      </c>
      <c r="B1855" s="2" t="n">
        <v>43221.86583333334</v>
      </c>
      <c r="C1855" t="n">
        <v>2</v>
      </c>
      <c r="D1855" t="n">
        <v>2</v>
      </c>
      <c r="E1855" t="s">
        <v>1862</v>
      </c>
      <c r="F1855" t="s"/>
      <c r="G1855" t="s"/>
      <c r="H1855" t="s"/>
      <c r="I1855" t="s"/>
      <c r="J1855" t="n">
        <v>0</v>
      </c>
      <c r="K1855" t="n">
        <v>0</v>
      </c>
      <c r="L1855" t="n">
        <v>1</v>
      </c>
      <c r="M1855" t="n">
        <v>0</v>
      </c>
    </row>
    <row r="1856" spans="1:13">
      <c r="A1856" s="1">
        <f>HYPERLINK("http://www.twitter.com/NathanBLawrence/status/991418179594342401", "991418179594342401")</f>
        <v/>
      </c>
      <c r="B1856" s="2" t="n">
        <v>43221.86444444444</v>
      </c>
      <c r="C1856" t="n">
        <v>2</v>
      </c>
      <c r="D1856" t="n">
        <v>0</v>
      </c>
      <c r="E1856" t="s">
        <v>1863</v>
      </c>
      <c r="F1856" t="s"/>
      <c r="G1856" t="s"/>
      <c r="H1856" t="s"/>
      <c r="I1856" t="s"/>
      <c r="J1856" t="n">
        <v>0</v>
      </c>
      <c r="K1856" t="n">
        <v>0</v>
      </c>
      <c r="L1856" t="n">
        <v>1</v>
      </c>
      <c r="M1856" t="n">
        <v>0</v>
      </c>
    </row>
    <row r="1857" spans="1:13">
      <c r="A1857" s="1">
        <f>HYPERLINK("http://www.twitter.com/NathanBLawrence/status/991418018105184256", "991418018105184256")</f>
        <v/>
      </c>
      <c r="B1857" s="2" t="n">
        <v>43221.86399305556</v>
      </c>
      <c r="C1857" t="n">
        <v>2</v>
      </c>
      <c r="D1857" t="n">
        <v>0</v>
      </c>
      <c r="E1857" t="s">
        <v>1864</v>
      </c>
      <c r="F1857" t="s"/>
      <c r="G1857" t="s"/>
      <c r="H1857" t="s"/>
      <c r="I1857" t="s"/>
      <c r="J1857" t="n">
        <v>0</v>
      </c>
      <c r="K1857" t="n">
        <v>0</v>
      </c>
      <c r="L1857" t="n">
        <v>1</v>
      </c>
      <c r="M1857" t="n">
        <v>0</v>
      </c>
    </row>
    <row r="1858" spans="1:13">
      <c r="A1858" s="1">
        <f>HYPERLINK("http://www.twitter.com/NathanBLawrence/status/991417735203635200", "991417735203635200")</f>
        <v/>
      </c>
      <c r="B1858" s="2" t="n">
        <v>43221.8632175926</v>
      </c>
      <c r="C1858" t="n">
        <v>0</v>
      </c>
      <c r="D1858" t="n">
        <v>17</v>
      </c>
      <c r="E1858" t="s">
        <v>1865</v>
      </c>
      <c r="F1858">
        <f>HYPERLINK("http://pbs.twimg.com/media/DcIQ_1-X0AA7Qe0.jpg", "http://pbs.twimg.com/media/DcIQ_1-X0AA7Qe0.jpg")</f>
        <v/>
      </c>
      <c r="G1858" t="s"/>
      <c r="H1858" t="s"/>
      <c r="I1858" t="s"/>
      <c r="J1858" t="n">
        <v>0</v>
      </c>
      <c r="K1858" t="n">
        <v>0</v>
      </c>
      <c r="L1858" t="n">
        <v>1</v>
      </c>
      <c r="M1858" t="n">
        <v>0</v>
      </c>
    </row>
    <row r="1859" spans="1:13">
      <c r="A1859" s="1">
        <f>HYPERLINK("http://www.twitter.com/NathanBLawrence/status/991417531536572416", "991417531536572416")</f>
        <v/>
      </c>
      <c r="B1859" s="2" t="n">
        <v>43221.86265046296</v>
      </c>
      <c r="C1859" t="n">
        <v>1</v>
      </c>
      <c r="D1859" t="n">
        <v>0</v>
      </c>
      <c r="E1859" t="s">
        <v>1866</v>
      </c>
      <c r="F1859" t="s"/>
      <c r="G1859" t="s"/>
      <c r="H1859" t="s"/>
      <c r="I1859" t="s"/>
      <c r="J1859" t="n">
        <v>0</v>
      </c>
      <c r="K1859" t="n">
        <v>0</v>
      </c>
      <c r="L1859" t="n">
        <v>1</v>
      </c>
      <c r="M1859" t="n">
        <v>0</v>
      </c>
    </row>
    <row r="1860" spans="1:13">
      <c r="A1860" s="1">
        <f>HYPERLINK("http://www.twitter.com/NathanBLawrence/status/991417341257760768", "991417341257760768")</f>
        <v/>
      </c>
      <c r="B1860" s="2" t="n">
        <v>43221.86212962963</v>
      </c>
      <c r="C1860" t="n">
        <v>3</v>
      </c>
      <c r="D1860" t="n">
        <v>0</v>
      </c>
      <c r="E1860" t="s">
        <v>1867</v>
      </c>
      <c r="F1860" t="s"/>
      <c r="G1860" t="s"/>
      <c r="H1860" t="s"/>
      <c r="I1860" t="s"/>
      <c r="J1860" t="n">
        <v>0</v>
      </c>
      <c r="K1860" t="n">
        <v>0</v>
      </c>
      <c r="L1860" t="n">
        <v>1</v>
      </c>
      <c r="M1860" t="n">
        <v>0</v>
      </c>
    </row>
    <row r="1861" spans="1:13">
      <c r="A1861" s="1">
        <f>HYPERLINK("http://www.twitter.com/NathanBLawrence/status/991417298840731648", "991417298840731648")</f>
        <v/>
      </c>
      <c r="B1861" s="2" t="n">
        <v>43221.86201388889</v>
      </c>
      <c r="C1861" t="n">
        <v>3</v>
      </c>
      <c r="D1861" t="n">
        <v>1</v>
      </c>
      <c r="E1861" t="s">
        <v>1868</v>
      </c>
      <c r="F1861" t="s"/>
      <c r="G1861" t="s"/>
      <c r="H1861" t="s"/>
      <c r="I1861" t="s"/>
      <c r="J1861" t="n">
        <v>0</v>
      </c>
      <c r="K1861" t="n">
        <v>0</v>
      </c>
      <c r="L1861" t="n">
        <v>1</v>
      </c>
      <c r="M1861" t="n">
        <v>0</v>
      </c>
    </row>
    <row r="1862" spans="1:13">
      <c r="A1862" s="1">
        <f>HYPERLINK("http://www.twitter.com/NathanBLawrence/status/991417177184993280", "991417177184993280")</f>
        <v/>
      </c>
      <c r="B1862" s="2" t="n">
        <v>43221.86167824074</v>
      </c>
      <c r="C1862" t="n">
        <v>8</v>
      </c>
      <c r="D1862" t="n">
        <v>4</v>
      </c>
      <c r="E1862" t="s">
        <v>1869</v>
      </c>
      <c r="F1862" t="s"/>
      <c r="G1862" t="s"/>
      <c r="H1862" t="s"/>
      <c r="I1862" t="s"/>
      <c r="J1862" t="n">
        <v>0</v>
      </c>
      <c r="K1862" t="n">
        <v>0</v>
      </c>
      <c r="L1862" t="n">
        <v>1</v>
      </c>
      <c r="M1862" t="n">
        <v>0</v>
      </c>
    </row>
    <row r="1863" spans="1:13">
      <c r="A1863" s="1">
        <f>HYPERLINK("http://www.twitter.com/NathanBLawrence/status/991417070570029056", "991417070570029056")</f>
        <v/>
      </c>
      <c r="B1863" s="2" t="n">
        <v>43221.86137731482</v>
      </c>
      <c r="C1863" t="n">
        <v>0</v>
      </c>
      <c r="D1863" t="n">
        <v>15</v>
      </c>
      <c r="E1863" t="s">
        <v>1870</v>
      </c>
      <c r="F1863">
        <f>HYPERLINK("https://video.twimg.com/ext_tw_video/991391719127072768/pu/vid/720x1280/lLpeUpqUbbZPI0Qm.mp4?tag=3", "https://video.twimg.com/ext_tw_video/991391719127072768/pu/vid/720x1280/lLpeUpqUbbZPI0Qm.mp4?tag=3")</f>
        <v/>
      </c>
      <c r="G1863" t="s"/>
      <c r="H1863" t="s"/>
      <c r="I1863" t="s"/>
      <c r="J1863" t="n">
        <v>0.9657</v>
      </c>
      <c r="K1863" t="n">
        <v>0</v>
      </c>
      <c r="L1863" t="n">
        <v>0.467</v>
      </c>
      <c r="M1863" t="n">
        <v>0.533</v>
      </c>
    </row>
    <row r="1864" spans="1:13">
      <c r="A1864" s="1">
        <f>HYPERLINK("http://www.twitter.com/NathanBLawrence/status/991415427023519744", "991415427023519744")</f>
        <v/>
      </c>
      <c r="B1864" s="2" t="n">
        <v>43221.85685185185</v>
      </c>
      <c r="C1864" t="n">
        <v>0</v>
      </c>
      <c r="D1864" t="n">
        <v>3</v>
      </c>
      <c r="E1864" t="s">
        <v>1871</v>
      </c>
      <c r="F1864">
        <f>HYPERLINK("http://pbs.twimg.com/media/DcIicAaU8AI257x.jpg", "http://pbs.twimg.com/media/DcIicAaU8AI257x.jpg")</f>
        <v/>
      </c>
      <c r="G1864" t="s"/>
      <c r="H1864" t="s"/>
      <c r="I1864" t="s"/>
      <c r="J1864" t="n">
        <v>0</v>
      </c>
      <c r="K1864" t="n">
        <v>0</v>
      </c>
      <c r="L1864" t="n">
        <v>1</v>
      </c>
      <c r="M1864" t="n">
        <v>0</v>
      </c>
    </row>
    <row r="1865" spans="1:13">
      <c r="A1865" s="1">
        <f>HYPERLINK("http://www.twitter.com/NathanBLawrence/status/991415087964434432", "991415087964434432")</f>
        <v/>
      </c>
      <c r="B1865" s="2" t="n">
        <v>43221.85591435185</v>
      </c>
      <c r="C1865" t="n">
        <v>3</v>
      </c>
      <c r="D1865" t="n">
        <v>2</v>
      </c>
      <c r="E1865" t="s">
        <v>1872</v>
      </c>
      <c r="F1865" t="s"/>
      <c r="G1865" t="s"/>
      <c r="H1865" t="s"/>
      <c r="I1865" t="s"/>
      <c r="J1865" t="n">
        <v>0</v>
      </c>
      <c r="K1865" t="n">
        <v>0</v>
      </c>
      <c r="L1865" t="n">
        <v>1</v>
      </c>
      <c r="M1865" t="n">
        <v>0</v>
      </c>
    </row>
    <row r="1866" spans="1:13">
      <c r="A1866" s="1">
        <f>HYPERLINK("http://www.twitter.com/NathanBLawrence/status/991414784481419264", "991414784481419264")</f>
        <v/>
      </c>
      <c r="B1866" s="2" t="n">
        <v>43221.85506944444</v>
      </c>
      <c r="C1866" t="n">
        <v>1</v>
      </c>
      <c r="D1866" t="n">
        <v>1</v>
      </c>
      <c r="E1866" t="s">
        <v>1873</v>
      </c>
      <c r="F1866" t="s"/>
      <c r="G1866" t="s"/>
      <c r="H1866" t="s"/>
      <c r="I1866" t="s"/>
      <c r="J1866" t="n">
        <v>0</v>
      </c>
      <c r="K1866" t="n">
        <v>0</v>
      </c>
      <c r="L1866" t="n">
        <v>1</v>
      </c>
      <c r="M1866" t="n">
        <v>0</v>
      </c>
    </row>
    <row r="1867" spans="1:13">
      <c r="A1867" s="1">
        <f>HYPERLINK("http://www.twitter.com/NathanBLawrence/status/991413724496912385", "991413724496912385")</f>
        <v/>
      </c>
      <c r="B1867" s="2" t="n">
        <v>43221.85215277778</v>
      </c>
      <c r="C1867" t="n">
        <v>3</v>
      </c>
      <c r="D1867" t="n">
        <v>1</v>
      </c>
      <c r="E1867" t="s">
        <v>1874</v>
      </c>
      <c r="F1867" t="s"/>
      <c r="G1867" t="s"/>
      <c r="H1867" t="s"/>
      <c r="I1867" t="s"/>
      <c r="J1867" t="n">
        <v>0</v>
      </c>
      <c r="K1867" t="n">
        <v>0</v>
      </c>
      <c r="L1867" t="n">
        <v>1</v>
      </c>
      <c r="M1867" t="n">
        <v>0</v>
      </c>
    </row>
    <row r="1868" spans="1:13">
      <c r="A1868" s="1">
        <f>HYPERLINK("http://www.twitter.com/NathanBLawrence/status/991413038929428481", "991413038929428481")</f>
        <v/>
      </c>
      <c r="B1868" s="2" t="n">
        <v>43221.85025462963</v>
      </c>
      <c r="C1868" t="n">
        <v>0</v>
      </c>
      <c r="D1868" t="n">
        <v>15</v>
      </c>
      <c r="E1868" t="s">
        <v>1875</v>
      </c>
      <c r="F1868" t="s"/>
      <c r="G1868" t="s"/>
      <c r="H1868" t="s"/>
      <c r="I1868" t="s"/>
      <c r="J1868" t="n">
        <v>0.6124000000000001</v>
      </c>
      <c r="K1868" t="n">
        <v>0</v>
      </c>
      <c r="L1868" t="n">
        <v>0.846</v>
      </c>
      <c r="M1868" t="n">
        <v>0.154</v>
      </c>
    </row>
    <row r="1869" spans="1:13">
      <c r="A1869" s="1">
        <f>HYPERLINK("http://www.twitter.com/NathanBLawrence/status/991412568752209920", "991412568752209920")</f>
        <v/>
      </c>
      <c r="B1869" s="2" t="n">
        <v>43221.84895833334</v>
      </c>
      <c r="C1869" t="n">
        <v>0</v>
      </c>
      <c r="D1869" t="n">
        <v>0</v>
      </c>
      <c r="E1869" t="s">
        <v>1876</v>
      </c>
      <c r="F1869" t="s"/>
      <c r="G1869" t="s"/>
      <c r="H1869" t="s"/>
      <c r="I1869" t="s"/>
      <c r="J1869" t="n">
        <v>-0.5354</v>
      </c>
      <c r="K1869" t="n">
        <v>0.107</v>
      </c>
      <c r="L1869" t="n">
        <v>0.893</v>
      </c>
      <c r="M1869" t="n">
        <v>0</v>
      </c>
    </row>
    <row r="1870" spans="1:13">
      <c r="A1870" s="1">
        <f>HYPERLINK("http://www.twitter.com/NathanBLawrence/status/991410454818840576", "991410454818840576")</f>
        <v/>
      </c>
      <c r="B1870" s="2" t="n">
        <v>43221.843125</v>
      </c>
      <c r="C1870" t="n">
        <v>0</v>
      </c>
      <c r="D1870" t="n">
        <v>2</v>
      </c>
      <c r="E1870" t="s">
        <v>1877</v>
      </c>
      <c r="F1870">
        <f>HYPERLINK("http://pbs.twimg.com/media/DcHoUCoV0AAqgvc.jpg", "http://pbs.twimg.com/media/DcHoUCoV0AAqgvc.jpg")</f>
        <v/>
      </c>
      <c r="G1870" t="s"/>
      <c r="H1870" t="s"/>
      <c r="I1870" t="s"/>
      <c r="J1870" t="n">
        <v>0.2732</v>
      </c>
      <c r="K1870" t="n">
        <v>0.092</v>
      </c>
      <c r="L1870" t="n">
        <v>0.738</v>
      </c>
      <c r="M1870" t="n">
        <v>0.17</v>
      </c>
    </row>
    <row r="1871" spans="1:13">
      <c r="A1871" s="1">
        <f>HYPERLINK("http://www.twitter.com/NathanBLawrence/status/991406962179899392", "991406962179899392")</f>
        <v/>
      </c>
      <c r="B1871" s="2" t="n">
        <v>43221.8334837963</v>
      </c>
      <c r="C1871" t="n">
        <v>0</v>
      </c>
      <c r="D1871" t="n">
        <v>227</v>
      </c>
      <c r="E1871" t="s">
        <v>1878</v>
      </c>
      <c r="F1871" t="s"/>
      <c r="G1871" t="s"/>
      <c r="H1871" t="s"/>
      <c r="I1871" t="s"/>
      <c r="J1871" t="n">
        <v>0.4019</v>
      </c>
      <c r="K1871" t="n">
        <v>0</v>
      </c>
      <c r="L1871" t="n">
        <v>0.828</v>
      </c>
      <c r="M1871" t="n">
        <v>0.172</v>
      </c>
    </row>
    <row r="1872" spans="1:13">
      <c r="A1872" s="1">
        <f>HYPERLINK("http://www.twitter.com/NathanBLawrence/status/991392222552604672", "991392222552604672")</f>
        <v/>
      </c>
      <c r="B1872" s="2" t="n">
        <v>43221.7928125</v>
      </c>
      <c r="C1872" t="n">
        <v>0</v>
      </c>
      <c r="D1872" t="n">
        <v>0</v>
      </c>
      <c r="E1872" t="s">
        <v>1879</v>
      </c>
      <c r="F1872" t="s"/>
      <c r="G1872" t="s"/>
      <c r="H1872" t="s"/>
      <c r="I1872" t="s"/>
      <c r="J1872" t="n">
        <v>0.296</v>
      </c>
      <c r="K1872" t="n">
        <v>0.094</v>
      </c>
      <c r="L1872" t="n">
        <v>0.79</v>
      </c>
      <c r="M1872" t="n">
        <v>0.116</v>
      </c>
    </row>
    <row r="1873" spans="1:13">
      <c r="A1873" s="1">
        <f>HYPERLINK("http://www.twitter.com/NathanBLawrence/status/991385532407033856", "991385532407033856")</f>
        <v/>
      </c>
      <c r="B1873" s="2" t="n">
        <v>43221.77435185185</v>
      </c>
      <c r="C1873" t="n">
        <v>0</v>
      </c>
      <c r="D1873" t="n">
        <v>49</v>
      </c>
      <c r="E1873" t="s">
        <v>1880</v>
      </c>
      <c r="F1873">
        <f>HYPERLINK("http://pbs.twimg.com/media/DcHqA5jVAAEJHm_.jpg", "http://pbs.twimg.com/media/DcHqA5jVAAEJHm_.jpg")</f>
        <v/>
      </c>
      <c r="G1873" t="s"/>
      <c r="H1873" t="s"/>
      <c r="I1873" t="s"/>
      <c r="J1873" t="n">
        <v>0.25</v>
      </c>
      <c r="K1873" t="n">
        <v>0</v>
      </c>
      <c r="L1873" t="n">
        <v>0.905</v>
      </c>
      <c r="M1873" t="n">
        <v>0.095</v>
      </c>
    </row>
    <row r="1874" spans="1:13">
      <c r="A1874" s="1">
        <f>HYPERLINK("http://www.twitter.com/NathanBLawrence/status/991385045397995520", "991385045397995520")</f>
        <v/>
      </c>
      <c r="B1874" s="2" t="n">
        <v>43221.77300925926</v>
      </c>
      <c r="C1874" t="n">
        <v>0</v>
      </c>
      <c r="D1874" t="n">
        <v>371</v>
      </c>
      <c r="E1874" t="s">
        <v>1881</v>
      </c>
      <c r="F1874">
        <f>HYPERLINK("http://pbs.twimg.com/media/DcHoDcFU8AEplpJ.jpg", "http://pbs.twimg.com/media/DcHoDcFU8AEplpJ.jpg")</f>
        <v/>
      </c>
      <c r="G1874" t="s"/>
      <c r="H1874" t="s"/>
      <c r="I1874" t="s"/>
      <c r="J1874" t="n">
        <v>0</v>
      </c>
      <c r="K1874" t="n">
        <v>0</v>
      </c>
      <c r="L1874" t="n">
        <v>1</v>
      </c>
      <c r="M1874" t="n">
        <v>0</v>
      </c>
    </row>
    <row r="1875" spans="1:13">
      <c r="A1875" s="1">
        <f>HYPERLINK("http://www.twitter.com/NathanBLawrence/status/991382753621913600", "991382753621913600")</f>
        <v/>
      </c>
      <c r="B1875" s="2" t="n">
        <v>43221.76668981482</v>
      </c>
      <c r="C1875" t="n">
        <v>0</v>
      </c>
      <c r="D1875" t="n">
        <v>1256</v>
      </c>
      <c r="E1875" t="s">
        <v>1882</v>
      </c>
      <c r="F1875">
        <f>HYPERLINK("http://pbs.twimg.com/media/DcHqjzuV4AAQDWy.jpg", "http://pbs.twimg.com/media/DcHqjzuV4AAQDWy.jpg")</f>
        <v/>
      </c>
      <c r="G1875" t="s"/>
      <c r="H1875" t="s"/>
      <c r="I1875" t="s"/>
      <c r="J1875" t="n">
        <v>0.6908</v>
      </c>
      <c r="K1875" t="n">
        <v>0</v>
      </c>
      <c r="L1875" t="n">
        <v>0.725</v>
      </c>
      <c r="M1875" t="n">
        <v>0.275</v>
      </c>
    </row>
    <row r="1876" spans="1:13">
      <c r="A1876" s="1">
        <f>HYPERLINK("http://www.twitter.com/NathanBLawrence/status/991382606410170368", "991382606410170368")</f>
        <v/>
      </c>
      <c r="B1876" s="2" t="n">
        <v>43221.76628472222</v>
      </c>
      <c r="C1876" t="n">
        <v>0</v>
      </c>
      <c r="D1876" t="n">
        <v>550</v>
      </c>
      <c r="E1876" t="s">
        <v>1883</v>
      </c>
      <c r="F1876">
        <f>HYPERLINK("http://pbs.twimg.com/media/DcHqaPIWsAIZq_I.jpg", "http://pbs.twimg.com/media/DcHqaPIWsAIZq_I.jpg")</f>
        <v/>
      </c>
      <c r="G1876" t="s"/>
      <c r="H1876" t="s"/>
      <c r="I1876" t="s"/>
      <c r="J1876" t="n">
        <v>-0.2905</v>
      </c>
      <c r="K1876" t="n">
        <v>0.153</v>
      </c>
      <c r="L1876" t="n">
        <v>0.847</v>
      </c>
      <c r="M1876" t="n">
        <v>0</v>
      </c>
    </row>
    <row r="1877" spans="1:13">
      <c r="A1877" s="1">
        <f>HYPERLINK("http://www.twitter.com/NathanBLawrence/status/991382355200757760", "991382355200757760")</f>
        <v/>
      </c>
      <c r="B1877" s="2" t="n">
        <v>43221.76559027778</v>
      </c>
      <c r="C1877" t="n">
        <v>0</v>
      </c>
      <c r="D1877" t="n">
        <v>164</v>
      </c>
      <c r="E1877" t="s">
        <v>1884</v>
      </c>
      <c r="F1877" t="s"/>
      <c r="G1877" t="s"/>
      <c r="H1877" t="s"/>
      <c r="I1877" t="s"/>
      <c r="J1877" t="n">
        <v>0.765</v>
      </c>
      <c r="K1877" t="n">
        <v>0</v>
      </c>
      <c r="L1877" t="n">
        <v>0.72</v>
      </c>
      <c r="M1877" t="n">
        <v>0.28</v>
      </c>
    </row>
    <row r="1878" spans="1:13">
      <c r="A1878" s="1">
        <f>HYPERLINK("http://www.twitter.com/NathanBLawrence/status/991381145282531329", "991381145282531329")</f>
        <v/>
      </c>
      <c r="B1878" s="2" t="n">
        <v>43221.76224537037</v>
      </c>
      <c r="C1878" t="n">
        <v>0</v>
      </c>
      <c r="D1878" t="n">
        <v>72</v>
      </c>
      <c r="E1878" t="s">
        <v>1885</v>
      </c>
      <c r="F1878">
        <f>HYPERLINK("http://pbs.twimg.com/media/DcGaJKwWkAA3AdC.jpg", "http://pbs.twimg.com/media/DcGaJKwWkAA3AdC.jpg")</f>
        <v/>
      </c>
      <c r="G1878" t="s"/>
      <c r="H1878" t="s"/>
      <c r="I1878" t="s"/>
      <c r="J1878" t="n">
        <v>0</v>
      </c>
      <c r="K1878" t="n">
        <v>0</v>
      </c>
      <c r="L1878" t="n">
        <v>1</v>
      </c>
      <c r="M1878" t="n">
        <v>0</v>
      </c>
    </row>
    <row r="1879" spans="1:13">
      <c r="A1879" s="1">
        <f>HYPERLINK("http://www.twitter.com/NathanBLawrence/status/991380299731816448", "991380299731816448")</f>
        <v/>
      </c>
      <c r="B1879" s="2" t="n">
        <v>43221.75991898148</v>
      </c>
      <c r="C1879" t="n">
        <v>0</v>
      </c>
      <c r="D1879" t="n">
        <v>1569</v>
      </c>
      <c r="E1879" t="s">
        <v>1886</v>
      </c>
      <c r="F1879">
        <f>HYPERLINK("http://pbs.twimg.com/media/DcFx2v_U0AASvS0.jpg", "http://pbs.twimg.com/media/DcFx2v_U0AASvS0.jpg")</f>
        <v/>
      </c>
      <c r="G1879" t="s"/>
      <c r="H1879" t="s"/>
      <c r="I1879" t="s"/>
      <c r="J1879" t="n">
        <v>-0.4404</v>
      </c>
      <c r="K1879" t="n">
        <v>0.172</v>
      </c>
      <c r="L1879" t="n">
        <v>0.828</v>
      </c>
      <c r="M1879" t="n">
        <v>0</v>
      </c>
    </row>
    <row r="1880" spans="1:13">
      <c r="A1880" s="1">
        <f>HYPERLINK("http://www.twitter.com/NathanBLawrence/status/991380176977121280", "991380176977121280")</f>
        <v/>
      </c>
      <c r="B1880" s="2" t="n">
        <v>43221.75957175926</v>
      </c>
      <c r="C1880" t="n">
        <v>1</v>
      </c>
      <c r="D1880" t="n">
        <v>0</v>
      </c>
      <c r="E1880" t="s">
        <v>1887</v>
      </c>
      <c r="F1880" t="s"/>
      <c r="G1880" t="s"/>
      <c r="H1880" t="s"/>
      <c r="I1880" t="s"/>
      <c r="J1880" t="n">
        <v>-0.7003</v>
      </c>
      <c r="K1880" t="n">
        <v>0.492</v>
      </c>
      <c r="L1880" t="n">
        <v>0.508</v>
      </c>
      <c r="M1880" t="n">
        <v>0</v>
      </c>
    </row>
    <row r="1881" spans="1:13">
      <c r="A1881" s="1">
        <f>HYPERLINK("http://www.twitter.com/NathanBLawrence/status/991378147978313729", "991378147978313729")</f>
        <v/>
      </c>
      <c r="B1881" s="2" t="n">
        <v>43221.75398148148</v>
      </c>
      <c r="C1881" t="n">
        <v>0</v>
      </c>
      <c r="D1881" t="n">
        <v>866</v>
      </c>
      <c r="E1881" t="s">
        <v>1888</v>
      </c>
      <c r="F1881" t="s"/>
      <c r="G1881" t="s"/>
      <c r="H1881" t="s"/>
      <c r="I1881" t="s"/>
      <c r="J1881" t="n">
        <v>-0.1531</v>
      </c>
      <c r="K1881" t="n">
        <v>0.111</v>
      </c>
      <c r="L1881" t="n">
        <v>0.802</v>
      </c>
      <c r="M1881" t="n">
        <v>0.08799999999999999</v>
      </c>
    </row>
    <row r="1882" spans="1:13">
      <c r="A1882" s="1">
        <f>HYPERLINK("http://www.twitter.com/NathanBLawrence/status/991378085319589890", "991378085319589890")</f>
        <v/>
      </c>
      <c r="B1882" s="2" t="n">
        <v>43221.75380787037</v>
      </c>
      <c r="C1882" t="n">
        <v>0</v>
      </c>
      <c r="D1882" t="n">
        <v>336</v>
      </c>
      <c r="E1882" t="s">
        <v>1889</v>
      </c>
      <c r="F1882">
        <f>HYPERLINK("http://pbs.twimg.com/media/DcHTVe5VMAARgTu.jpg", "http://pbs.twimg.com/media/DcHTVe5VMAARgTu.jpg")</f>
        <v/>
      </c>
      <c r="G1882" t="s"/>
      <c r="H1882" t="s"/>
      <c r="I1882" t="s"/>
      <c r="J1882" t="n">
        <v>0.1531</v>
      </c>
      <c r="K1882" t="n">
        <v>0.08799999999999999</v>
      </c>
      <c r="L1882" t="n">
        <v>0.796</v>
      </c>
      <c r="M1882" t="n">
        <v>0.115</v>
      </c>
    </row>
    <row r="1883" spans="1:13">
      <c r="A1883" s="1">
        <f>HYPERLINK("http://www.twitter.com/NathanBLawrence/status/991377757354409986", "991377757354409986")</f>
        <v/>
      </c>
      <c r="B1883" s="2" t="n">
        <v>43221.75289351852</v>
      </c>
      <c r="C1883" t="n">
        <v>1</v>
      </c>
      <c r="D1883" t="n">
        <v>0</v>
      </c>
      <c r="E1883" t="s">
        <v>1890</v>
      </c>
      <c r="F1883" t="s"/>
      <c r="G1883" t="s"/>
      <c r="H1883" t="s"/>
      <c r="I1883" t="s"/>
      <c r="J1883" t="n">
        <v>0</v>
      </c>
      <c r="K1883" t="n">
        <v>0</v>
      </c>
      <c r="L1883" t="n">
        <v>1</v>
      </c>
      <c r="M1883" t="n">
        <v>0</v>
      </c>
    </row>
    <row r="1884" spans="1:13">
      <c r="A1884" s="1">
        <f>HYPERLINK("http://www.twitter.com/NathanBLawrence/status/991365191274295296", "991365191274295296")</f>
        <v/>
      </c>
      <c r="B1884" s="2" t="n">
        <v>43221.71821759259</v>
      </c>
      <c r="C1884" t="n">
        <v>0</v>
      </c>
      <c r="D1884" t="n">
        <v>1848</v>
      </c>
      <c r="E1884" t="s">
        <v>1891</v>
      </c>
      <c r="F1884" t="s"/>
      <c r="G1884" t="s"/>
      <c r="H1884" t="s"/>
      <c r="I1884" t="s"/>
      <c r="J1884" t="n">
        <v>-0.0516</v>
      </c>
      <c r="K1884" t="n">
        <v>0.124</v>
      </c>
      <c r="L1884" t="n">
        <v>0.76</v>
      </c>
      <c r="M1884" t="n">
        <v>0.116</v>
      </c>
    </row>
    <row r="1885" spans="1:13">
      <c r="A1885" s="1">
        <f>HYPERLINK("http://www.twitter.com/NathanBLawrence/status/991365048311394305", "991365048311394305")</f>
        <v/>
      </c>
      <c r="B1885" s="2" t="n">
        <v>43221.71782407408</v>
      </c>
      <c r="C1885" t="n">
        <v>0</v>
      </c>
      <c r="D1885" t="n">
        <v>6377</v>
      </c>
      <c r="E1885" t="s">
        <v>1892</v>
      </c>
      <c r="F1885">
        <f>HYPERLINK("http://pbs.twimg.com/media/DcH_DTGWsAAjBE9.jpg", "http://pbs.twimg.com/media/DcH_DTGWsAAjBE9.jpg")</f>
        <v/>
      </c>
      <c r="G1885" t="s"/>
      <c r="H1885" t="s"/>
      <c r="I1885" t="s"/>
      <c r="J1885" t="n">
        <v>0</v>
      </c>
      <c r="K1885" t="n">
        <v>0</v>
      </c>
      <c r="L1885" t="n">
        <v>1</v>
      </c>
      <c r="M1885" t="n">
        <v>0</v>
      </c>
    </row>
    <row r="1886" spans="1:13">
      <c r="A1886" s="1">
        <f>HYPERLINK("http://www.twitter.com/NathanBLawrence/status/991364912696954881", "991364912696954881")</f>
        <v/>
      </c>
      <c r="B1886" s="2" t="n">
        <v>43221.71745370371</v>
      </c>
      <c r="C1886" t="n">
        <v>0</v>
      </c>
      <c r="D1886" t="n">
        <v>797</v>
      </c>
      <c r="E1886" t="s">
        <v>1893</v>
      </c>
      <c r="F1886">
        <f>HYPERLINK("http://pbs.twimg.com/media/DcIC1RCUwAEOWZX.jpg", "http://pbs.twimg.com/media/DcIC1RCUwAEOWZX.jpg")</f>
        <v/>
      </c>
      <c r="G1886" t="s"/>
      <c r="H1886" t="s"/>
      <c r="I1886" t="s"/>
      <c r="J1886" t="n">
        <v>0</v>
      </c>
      <c r="K1886" t="n">
        <v>0</v>
      </c>
      <c r="L1886" t="n">
        <v>1</v>
      </c>
      <c r="M1886" t="n">
        <v>0</v>
      </c>
    </row>
    <row r="1887" spans="1:13">
      <c r="A1887" s="1">
        <f>HYPERLINK("http://www.twitter.com/NathanBLawrence/status/991364869353037825", "991364869353037825")</f>
        <v/>
      </c>
      <c r="B1887" s="2" t="n">
        <v>43221.71733796296</v>
      </c>
      <c r="C1887" t="n">
        <v>0</v>
      </c>
      <c r="D1887" t="n">
        <v>8736</v>
      </c>
      <c r="E1887" t="s">
        <v>1894</v>
      </c>
      <c r="F1887" t="s"/>
      <c r="G1887" t="s"/>
      <c r="H1887" t="s"/>
      <c r="I1887" t="s"/>
      <c r="J1887" t="n">
        <v>-0.296</v>
      </c>
      <c r="K1887" t="n">
        <v>0.104</v>
      </c>
      <c r="L1887" t="n">
        <v>0.896</v>
      </c>
      <c r="M1887" t="n">
        <v>0</v>
      </c>
    </row>
    <row r="1888" spans="1:13">
      <c r="A1888" s="1">
        <f>HYPERLINK("http://www.twitter.com/NathanBLawrence/status/991364818606190592", "991364818606190592")</f>
        <v/>
      </c>
      <c r="B1888" s="2" t="n">
        <v>43221.71719907408</v>
      </c>
      <c r="C1888" t="n">
        <v>0</v>
      </c>
      <c r="D1888" t="n">
        <v>4580</v>
      </c>
      <c r="E1888" t="s">
        <v>1895</v>
      </c>
      <c r="F1888" t="s"/>
      <c r="G1888" t="s"/>
      <c r="H1888" t="s"/>
      <c r="I1888" t="s"/>
      <c r="J1888" t="n">
        <v>0.9538</v>
      </c>
      <c r="K1888" t="n">
        <v>0</v>
      </c>
      <c r="L1888" t="n">
        <v>0.509</v>
      </c>
      <c r="M1888" t="n">
        <v>0.491</v>
      </c>
    </row>
    <row r="1889" spans="1:13">
      <c r="A1889" s="1">
        <f>HYPERLINK("http://www.twitter.com/NathanBLawrence/status/991364771101446146", "991364771101446146")</f>
        <v/>
      </c>
      <c r="B1889" s="2" t="n">
        <v>43221.71706018518</v>
      </c>
      <c r="C1889" t="n">
        <v>0</v>
      </c>
      <c r="D1889" t="n">
        <v>13259</v>
      </c>
      <c r="E1889" t="s">
        <v>1896</v>
      </c>
      <c r="F1889" t="s"/>
      <c r="G1889" t="s"/>
      <c r="H1889" t="s"/>
      <c r="I1889" t="s"/>
      <c r="J1889" t="n">
        <v>0.8807</v>
      </c>
      <c r="K1889" t="n">
        <v>0</v>
      </c>
      <c r="L1889" t="n">
        <v>0.651</v>
      </c>
      <c r="M1889" t="n">
        <v>0.349</v>
      </c>
    </row>
    <row r="1890" spans="1:13">
      <c r="A1890" s="1">
        <f>HYPERLINK("http://www.twitter.com/NathanBLawrence/status/991352365642010624", "991352365642010624")</f>
        <v/>
      </c>
      <c r="B1890" s="2" t="n">
        <v>43221.68283564815</v>
      </c>
      <c r="C1890" t="n">
        <v>0</v>
      </c>
      <c r="D1890" t="n">
        <v>1</v>
      </c>
      <c r="E1890" t="s">
        <v>1897</v>
      </c>
      <c r="F1890" t="s"/>
      <c r="G1890" t="s"/>
      <c r="H1890" t="s"/>
      <c r="I1890" t="s"/>
      <c r="J1890" t="n">
        <v>-0.8488</v>
      </c>
      <c r="K1890" t="n">
        <v>0.204</v>
      </c>
      <c r="L1890" t="n">
        <v>0.796</v>
      </c>
      <c r="M1890" t="n">
        <v>0</v>
      </c>
    </row>
    <row r="1891" spans="1:13">
      <c r="A1891" s="1">
        <f>HYPERLINK("http://www.twitter.com/NathanBLawrence/status/991351753231642624", "991351753231642624")</f>
        <v/>
      </c>
      <c r="B1891" s="2" t="n">
        <v>43221.68114583333</v>
      </c>
      <c r="C1891" t="n">
        <v>0</v>
      </c>
      <c r="D1891" t="n">
        <v>151</v>
      </c>
      <c r="E1891" t="s">
        <v>1898</v>
      </c>
      <c r="F1891" t="s"/>
      <c r="G1891" t="s"/>
      <c r="H1891" t="s"/>
      <c r="I1891" t="s"/>
      <c r="J1891" t="n">
        <v>0.6249</v>
      </c>
      <c r="K1891" t="n">
        <v>0</v>
      </c>
      <c r="L1891" t="n">
        <v>0.837</v>
      </c>
      <c r="M1891" t="n">
        <v>0.163</v>
      </c>
    </row>
    <row r="1892" spans="1:13">
      <c r="A1892" s="1">
        <f>HYPERLINK("http://www.twitter.com/NathanBLawrence/status/991351711477329920", "991351711477329920")</f>
        <v/>
      </c>
      <c r="B1892" s="2" t="n">
        <v>43221.68103009259</v>
      </c>
      <c r="C1892" t="n">
        <v>0</v>
      </c>
      <c r="D1892" t="n">
        <v>382</v>
      </c>
      <c r="E1892" t="s">
        <v>1899</v>
      </c>
      <c r="F1892" t="s"/>
      <c r="G1892" t="s"/>
      <c r="H1892" t="s"/>
      <c r="I1892" t="s"/>
      <c r="J1892" t="n">
        <v>-0.501</v>
      </c>
      <c r="K1892" t="n">
        <v>0.188</v>
      </c>
      <c r="L1892" t="n">
        <v>0.719</v>
      </c>
      <c r="M1892" t="n">
        <v>0.093</v>
      </c>
    </row>
    <row r="1893" spans="1:13">
      <c r="A1893" s="1">
        <f>HYPERLINK("http://www.twitter.com/NathanBLawrence/status/991351044352462849", "991351044352462849")</f>
        <v/>
      </c>
      <c r="B1893" s="2" t="n">
        <v>43221.67918981481</v>
      </c>
      <c r="C1893" t="n">
        <v>0</v>
      </c>
      <c r="D1893" t="n">
        <v>0</v>
      </c>
      <c r="E1893" t="s">
        <v>1900</v>
      </c>
      <c r="F1893" t="s"/>
      <c r="G1893" t="s"/>
      <c r="H1893" t="s"/>
      <c r="I1893" t="s"/>
      <c r="J1893" t="n">
        <v>0.5266999999999999</v>
      </c>
      <c r="K1893" t="n">
        <v>0</v>
      </c>
      <c r="L1893" t="n">
        <v>0.86</v>
      </c>
      <c r="M1893" t="n">
        <v>0.14</v>
      </c>
    </row>
    <row r="1894" spans="1:13">
      <c r="A1894" s="1">
        <f>HYPERLINK("http://www.twitter.com/NathanBLawrence/status/991350860117508096", "991350860117508096")</f>
        <v/>
      </c>
      <c r="B1894" s="2" t="n">
        <v>43221.67868055555</v>
      </c>
      <c r="C1894" t="n">
        <v>0</v>
      </c>
      <c r="D1894" t="n">
        <v>764</v>
      </c>
      <c r="E1894" t="s">
        <v>1901</v>
      </c>
      <c r="F1894">
        <f>HYPERLINK("https://video.twimg.com/amplify_video/990938857175691264/vid/1280x720/ZNwG4jjIpeIO6Gxn.mp4?tag=2", "https://video.twimg.com/amplify_video/990938857175691264/vid/1280x720/ZNwG4jjIpeIO6Gxn.mp4?tag=2")</f>
        <v/>
      </c>
      <c r="G1894" t="s"/>
      <c r="H1894" t="s"/>
      <c r="I1894" t="s"/>
      <c r="J1894" t="n">
        <v>-0.5857</v>
      </c>
      <c r="K1894" t="n">
        <v>0.223</v>
      </c>
      <c r="L1894" t="n">
        <v>0.6929999999999999</v>
      </c>
      <c r="M1894" t="n">
        <v>0.08400000000000001</v>
      </c>
    </row>
    <row r="1895" spans="1:13">
      <c r="A1895" s="1">
        <f>HYPERLINK("http://www.twitter.com/NathanBLawrence/status/991350672703418368", "991350672703418368")</f>
        <v/>
      </c>
      <c r="B1895" s="2" t="n">
        <v>43221.67815972222</v>
      </c>
      <c r="C1895" t="n">
        <v>0</v>
      </c>
      <c r="D1895" t="n">
        <v>1939</v>
      </c>
      <c r="E1895" t="s">
        <v>1902</v>
      </c>
      <c r="F1895">
        <f>HYPERLINK("https://video.twimg.com/amplify_video/990569071056912386/vid/1280x720/PeJ4sqvefHcegDtx.mp4?tag=2", "https://video.twimg.com/amplify_video/990569071056912386/vid/1280x720/PeJ4sqvefHcegDtx.mp4?tag=2")</f>
        <v/>
      </c>
      <c r="G1895" t="s"/>
      <c r="H1895" t="s"/>
      <c r="I1895" t="s"/>
      <c r="J1895" t="n">
        <v>-0.4215</v>
      </c>
      <c r="K1895" t="n">
        <v>0.193</v>
      </c>
      <c r="L1895" t="n">
        <v>0.72</v>
      </c>
      <c r="M1895" t="n">
        <v>0.08699999999999999</v>
      </c>
    </row>
    <row r="1896" spans="1:13">
      <c r="A1896" s="1">
        <f>HYPERLINK("http://www.twitter.com/NathanBLawrence/status/991350591480774657", "991350591480774657")</f>
        <v/>
      </c>
      <c r="B1896" s="2" t="n">
        <v>43221.67793981481</v>
      </c>
      <c r="C1896" t="n">
        <v>0</v>
      </c>
      <c r="D1896" t="n">
        <v>172</v>
      </c>
      <c r="E1896" t="s">
        <v>1903</v>
      </c>
      <c r="F1896" t="s"/>
      <c r="G1896" t="s"/>
      <c r="H1896" t="s"/>
      <c r="I1896" t="s"/>
      <c r="J1896" t="n">
        <v>0</v>
      </c>
      <c r="K1896" t="n">
        <v>0</v>
      </c>
      <c r="L1896" t="n">
        <v>1</v>
      </c>
      <c r="M1896" t="n">
        <v>0</v>
      </c>
    </row>
    <row r="1897" spans="1:13">
      <c r="A1897" s="1">
        <f>HYPERLINK("http://www.twitter.com/NathanBLawrence/status/991350544705835008", "991350544705835008")</f>
        <v/>
      </c>
      <c r="B1897" s="2" t="n">
        <v>43221.67780092593</v>
      </c>
      <c r="C1897" t="n">
        <v>0</v>
      </c>
      <c r="D1897" t="n">
        <v>202</v>
      </c>
      <c r="E1897" t="s">
        <v>1904</v>
      </c>
      <c r="F1897" t="s"/>
      <c r="G1897" t="s"/>
      <c r="H1897" t="s"/>
      <c r="I1897" t="s"/>
      <c r="J1897" t="n">
        <v>-0.4767</v>
      </c>
      <c r="K1897" t="n">
        <v>0.14</v>
      </c>
      <c r="L1897" t="n">
        <v>0.86</v>
      </c>
      <c r="M1897" t="n">
        <v>0</v>
      </c>
    </row>
    <row r="1898" spans="1:13">
      <c r="A1898" s="1">
        <f>HYPERLINK("http://www.twitter.com/NathanBLawrence/status/991350482844069888", "991350482844069888")</f>
        <v/>
      </c>
      <c r="B1898" s="2" t="n">
        <v>43221.67763888889</v>
      </c>
      <c r="C1898" t="n">
        <v>0</v>
      </c>
      <c r="D1898" t="n">
        <v>1837</v>
      </c>
      <c r="E1898" t="s">
        <v>1905</v>
      </c>
      <c r="F1898">
        <f>HYPERLINK("https://video.twimg.com/amplify_video/990937279693774848/vid/1280x720/D-v3-VgcqTciSK8S.mp4?tag=2", "https://video.twimg.com/amplify_video/990937279693774848/vid/1280x720/D-v3-VgcqTciSK8S.mp4?tag=2")</f>
        <v/>
      </c>
      <c r="G1898" t="s"/>
      <c r="H1898" t="s"/>
      <c r="I1898" t="s"/>
      <c r="J1898" t="n">
        <v>-0.0258</v>
      </c>
      <c r="K1898" t="n">
        <v>0.111</v>
      </c>
      <c r="L1898" t="n">
        <v>0.783</v>
      </c>
      <c r="M1898" t="n">
        <v>0.106</v>
      </c>
    </row>
    <row r="1899" spans="1:13">
      <c r="A1899" s="1">
        <f>HYPERLINK("http://www.twitter.com/NathanBLawrence/status/991350264907972613", "991350264907972613")</f>
        <v/>
      </c>
      <c r="B1899" s="2" t="n">
        <v>43221.67703703704</v>
      </c>
      <c r="C1899" t="n">
        <v>0</v>
      </c>
      <c r="D1899" t="n">
        <v>851</v>
      </c>
      <c r="E1899" t="s">
        <v>1906</v>
      </c>
      <c r="F1899">
        <f>HYPERLINK("http://pbs.twimg.com/media/Db6IW25U0AA65yq.jpg", "http://pbs.twimg.com/media/Db6IW25U0AA65yq.jpg")</f>
        <v/>
      </c>
      <c r="G1899" t="s"/>
      <c r="H1899" t="s"/>
      <c r="I1899" t="s"/>
      <c r="J1899" t="n">
        <v>-0.5707</v>
      </c>
      <c r="K1899" t="n">
        <v>0.264</v>
      </c>
      <c r="L1899" t="n">
        <v>0.594</v>
      </c>
      <c r="M1899" t="n">
        <v>0.142</v>
      </c>
    </row>
    <row r="1900" spans="1:13">
      <c r="A1900" s="1">
        <f>HYPERLINK("http://www.twitter.com/NathanBLawrence/status/991333427734458374", "991333427734458374")</f>
        <v/>
      </c>
      <c r="B1900" s="2" t="n">
        <v>43221.63056712963</v>
      </c>
      <c r="C1900" t="n">
        <v>0</v>
      </c>
      <c r="D1900" t="n">
        <v>27281</v>
      </c>
      <c r="E1900" t="s">
        <v>1907</v>
      </c>
      <c r="F1900" t="s"/>
      <c r="G1900" t="s"/>
      <c r="H1900" t="s"/>
      <c r="I1900" t="s"/>
      <c r="J1900" t="n">
        <v>0.8155</v>
      </c>
      <c r="K1900" t="n">
        <v>0</v>
      </c>
      <c r="L1900" t="n">
        <v>0.668</v>
      </c>
      <c r="M1900" t="n">
        <v>0.332</v>
      </c>
    </row>
    <row r="1901" spans="1:13">
      <c r="A1901" s="1">
        <f>HYPERLINK("http://www.twitter.com/NathanBLawrence/status/991333332737654784", "991333332737654784")</f>
        <v/>
      </c>
      <c r="B1901" s="2" t="n">
        <v>43221.6303125</v>
      </c>
      <c r="C1901" t="n">
        <v>0</v>
      </c>
      <c r="D1901" t="n">
        <v>24361</v>
      </c>
      <c r="E1901" t="s">
        <v>1908</v>
      </c>
      <c r="F1901" t="s"/>
      <c r="G1901" t="s"/>
      <c r="H1901" t="s"/>
      <c r="I1901" t="s"/>
      <c r="J1901" t="n">
        <v>-0.5266999999999999</v>
      </c>
      <c r="K1901" t="n">
        <v>0.18</v>
      </c>
      <c r="L1901" t="n">
        <v>0.82</v>
      </c>
      <c r="M1901" t="n">
        <v>0</v>
      </c>
    </row>
    <row r="1902" spans="1:13">
      <c r="A1902" s="1">
        <f>HYPERLINK("http://www.twitter.com/NathanBLawrence/status/991333236046422016", "991333236046422016")</f>
        <v/>
      </c>
      <c r="B1902" s="2" t="n">
        <v>43221.6300462963</v>
      </c>
      <c r="C1902" t="n">
        <v>0</v>
      </c>
      <c r="D1902" t="n">
        <v>16387</v>
      </c>
      <c r="E1902" t="s">
        <v>1909</v>
      </c>
      <c r="F1902" t="s"/>
      <c r="G1902" t="s"/>
      <c r="H1902" t="s"/>
      <c r="I1902" t="s"/>
      <c r="J1902" t="n">
        <v>0.8316</v>
      </c>
      <c r="K1902" t="n">
        <v>0</v>
      </c>
      <c r="L1902" t="n">
        <v>0.6850000000000001</v>
      </c>
      <c r="M1902" t="n">
        <v>0.315</v>
      </c>
    </row>
    <row r="1903" spans="1:13">
      <c r="A1903" s="1">
        <f>HYPERLINK("http://www.twitter.com/NathanBLawrence/status/991333193474191361", "991333193474191361")</f>
        <v/>
      </c>
      <c r="B1903" s="2" t="n">
        <v>43221.62993055556</v>
      </c>
      <c r="C1903" t="n">
        <v>0</v>
      </c>
      <c r="D1903" t="n">
        <v>26270</v>
      </c>
      <c r="E1903" t="s">
        <v>1910</v>
      </c>
      <c r="F1903" t="s"/>
      <c r="G1903" t="s"/>
      <c r="H1903" t="s"/>
      <c r="I1903" t="s"/>
      <c r="J1903" t="n">
        <v>-0.6705</v>
      </c>
      <c r="K1903" t="n">
        <v>0.208</v>
      </c>
      <c r="L1903" t="n">
        <v>0.792</v>
      </c>
      <c r="M1903" t="n">
        <v>0</v>
      </c>
    </row>
    <row r="1904" spans="1:13">
      <c r="A1904" s="1">
        <f>HYPERLINK("http://www.twitter.com/NathanBLawrence/status/991333052642017280", "991333052642017280")</f>
        <v/>
      </c>
      <c r="B1904" s="2" t="n">
        <v>43221.62953703704</v>
      </c>
      <c r="C1904" t="n">
        <v>0</v>
      </c>
      <c r="D1904" t="n">
        <v>21843</v>
      </c>
      <c r="E1904" t="s">
        <v>1911</v>
      </c>
      <c r="F1904" t="s"/>
      <c r="G1904" t="s"/>
      <c r="H1904" t="s"/>
      <c r="I1904" t="s"/>
      <c r="J1904" t="n">
        <v>0.8594000000000001</v>
      </c>
      <c r="K1904" t="n">
        <v>0</v>
      </c>
      <c r="L1904" t="n">
        <v>0.631</v>
      </c>
      <c r="M1904" t="n">
        <v>0.369</v>
      </c>
    </row>
    <row r="1905" spans="1:13">
      <c r="A1905" s="1">
        <f>HYPERLINK("http://www.twitter.com/NathanBLawrence/status/991332823914065923", "991332823914065923")</f>
        <v/>
      </c>
      <c r="B1905" s="2" t="n">
        <v>43221.62890046297</v>
      </c>
      <c r="C1905" t="n">
        <v>0</v>
      </c>
      <c r="D1905" t="n">
        <v>2191</v>
      </c>
      <c r="E1905" t="s">
        <v>1912</v>
      </c>
      <c r="F1905" t="s"/>
      <c r="G1905" t="s"/>
      <c r="H1905" t="s"/>
      <c r="I1905" t="s"/>
      <c r="J1905" t="n">
        <v>0</v>
      </c>
      <c r="K1905" t="n">
        <v>0</v>
      </c>
      <c r="L1905" t="n">
        <v>1</v>
      </c>
      <c r="M1905" t="n">
        <v>0</v>
      </c>
    </row>
    <row r="1906" spans="1:13">
      <c r="A1906" s="1">
        <f>HYPERLINK("http://www.twitter.com/NathanBLawrence/status/991332746118053889", "991332746118053889")</f>
        <v/>
      </c>
      <c r="B1906" s="2" t="n">
        <v>43221.62869212963</v>
      </c>
      <c r="C1906" t="n">
        <v>0</v>
      </c>
      <c r="D1906" t="n">
        <v>3064</v>
      </c>
      <c r="E1906" t="s">
        <v>1913</v>
      </c>
      <c r="F1906">
        <f>HYPERLINK("http://pbs.twimg.com/media/DcHoIOGUwAEPjxL.jpg", "http://pbs.twimg.com/media/DcHoIOGUwAEPjxL.jpg")</f>
        <v/>
      </c>
      <c r="G1906" t="s"/>
      <c r="H1906" t="s"/>
      <c r="I1906" t="s"/>
      <c r="J1906" t="n">
        <v>0</v>
      </c>
      <c r="K1906" t="n">
        <v>0</v>
      </c>
      <c r="L1906" t="n">
        <v>1</v>
      </c>
      <c r="M1906" t="n">
        <v>0</v>
      </c>
    </row>
    <row r="1907" spans="1:13">
      <c r="A1907" s="1">
        <f>HYPERLINK("http://www.twitter.com/NathanBLawrence/status/991330281851256832", "991330281851256832")</f>
        <v/>
      </c>
      <c r="B1907" s="2" t="n">
        <v>43221.62188657407</v>
      </c>
      <c r="C1907" t="n">
        <v>0</v>
      </c>
      <c r="D1907" t="n">
        <v>2</v>
      </c>
      <c r="E1907" t="s">
        <v>1914</v>
      </c>
      <c r="F1907" t="s"/>
      <c r="G1907" t="s"/>
      <c r="H1907" t="s"/>
      <c r="I1907" t="s"/>
      <c r="J1907" t="n">
        <v>0</v>
      </c>
      <c r="K1907" t="n">
        <v>0</v>
      </c>
      <c r="L1907" t="n">
        <v>1</v>
      </c>
      <c r="M1907" t="n">
        <v>0</v>
      </c>
    </row>
    <row r="1908" spans="1:13">
      <c r="A1908" s="1">
        <f>HYPERLINK("http://www.twitter.com/NathanBLawrence/status/991329891772596224", "991329891772596224")</f>
        <v/>
      </c>
      <c r="B1908" s="2" t="n">
        <v>43221.62081018519</v>
      </c>
      <c r="C1908" t="n">
        <v>0</v>
      </c>
      <c r="D1908" t="n">
        <v>1</v>
      </c>
      <c r="E1908" t="s">
        <v>1915</v>
      </c>
      <c r="F1908" t="s"/>
      <c r="G1908" t="s"/>
      <c r="H1908" t="s"/>
      <c r="I1908" t="s"/>
      <c r="J1908" t="n">
        <v>0</v>
      </c>
      <c r="K1908" t="n">
        <v>0</v>
      </c>
      <c r="L1908" t="n">
        <v>1</v>
      </c>
      <c r="M1908" t="n">
        <v>0</v>
      </c>
    </row>
    <row r="1909" spans="1:13">
      <c r="A1909" s="1">
        <f>HYPERLINK("http://www.twitter.com/NathanBLawrence/status/991329521864400896", "991329521864400896")</f>
        <v/>
      </c>
      <c r="B1909" s="2" t="n">
        <v>43221.61979166666</v>
      </c>
      <c r="C1909" t="n">
        <v>0</v>
      </c>
      <c r="D1909" t="n">
        <v>1</v>
      </c>
      <c r="E1909" t="s">
        <v>1916</v>
      </c>
      <c r="F1909" t="s"/>
      <c r="G1909" t="s"/>
      <c r="H1909" t="s"/>
      <c r="I1909" t="s"/>
      <c r="J1909" t="n">
        <v>-0.0258</v>
      </c>
      <c r="K1909" t="n">
        <v>0.099</v>
      </c>
      <c r="L1909" t="n">
        <v>0.8070000000000001</v>
      </c>
      <c r="M1909" t="n">
        <v>0.094</v>
      </c>
    </row>
    <row r="1910" spans="1:13">
      <c r="A1910" s="1">
        <f>HYPERLINK("http://www.twitter.com/NathanBLawrence/status/991328375477161985", "991328375477161985")</f>
        <v/>
      </c>
      <c r="B1910" s="2" t="n">
        <v>43221.61663194445</v>
      </c>
      <c r="C1910" t="n">
        <v>0</v>
      </c>
      <c r="D1910" t="n">
        <v>6219</v>
      </c>
      <c r="E1910" t="s">
        <v>1917</v>
      </c>
      <c r="F1910">
        <f>HYPERLINK("http://pbs.twimg.com/media/DO4cBm8VQAE79eF.jpg", "http://pbs.twimg.com/media/DO4cBm8VQAE79eF.jpg")</f>
        <v/>
      </c>
      <c r="G1910" t="s"/>
      <c r="H1910" t="s"/>
      <c r="I1910" t="s"/>
      <c r="J1910" t="n">
        <v>0.4199</v>
      </c>
      <c r="K1910" t="n">
        <v>0</v>
      </c>
      <c r="L1910" t="n">
        <v>0.823</v>
      </c>
      <c r="M1910" t="n">
        <v>0.177</v>
      </c>
    </row>
    <row r="1911" spans="1:13">
      <c r="A1911" s="1">
        <f>HYPERLINK("http://www.twitter.com/NathanBLawrence/status/991328196321669120", "991328196321669120")</f>
        <v/>
      </c>
      <c r="B1911" s="2" t="n">
        <v>43221.61613425926</v>
      </c>
      <c r="C1911" t="n">
        <v>0</v>
      </c>
      <c r="D1911" t="n">
        <v>123</v>
      </c>
      <c r="E1911" t="s">
        <v>1918</v>
      </c>
      <c r="F1911" t="s"/>
      <c r="G1911" t="s"/>
      <c r="H1911" t="s"/>
      <c r="I1911" t="s"/>
      <c r="J1911" t="n">
        <v>0.3489</v>
      </c>
      <c r="K1911" t="n">
        <v>0</v>
      </c>
      <c r="L1911" t="n">
        <v>0.896</v>
      </c>
      <c r="M1911" t="n">
        <v>0.104</v>
      </c>
    </row>
    <row r="1912" spans="1:13">
      <c r="A1912" s="1">
        <f>HYPERLINK("http://www.twitter.com/NathanBLawrence/status/991328123969978368", "991328123969978368")</f>
        <v/>
      </c>
      <c r="B1912" s="2" t="n">
        <v>43221.6159375</v>
      </c>
      <c r="C1912" t="n">
        <v>0</v>
      </c>
      <c r="D1912" t="n">
        <v>0</v>
      </c>
      <c r="E1912" t="s">
        <v>1919</v>
      </c>
      <c r="F1912" t="s"/>
      <c r="G1912" t="s"/>
      <c r="H1912" t="s"/>
      <c r="I1912" t="s"/>
      <c r="J1912" t="n">
        <v>0.4215</v>
      </c>
      <c r="K1912" t="n">
        <v>0</v>
      </c>
      <c r="L1912" t="n">
        <v>0.8110000000000001</v>
      </c>
      <c r="M1912" t="n">
        <v>0.189</v>
      </c>
    </row>
    <row r="1913" spans="1:13">
      <c r="A1913" s="1">
        <f>HYPERLINK("http://www.twitter.com/NathanBLawrence/status/991327665339621379", "991327665339621379")</f>
        <v/>
      </c>
      <c r="B1913" s="2" t="n">
        <v>43221.61467592593</v>
      </c>
      <c r="C1913" t="n">
        <v>0</v>
      </c>
      <c r="D1913" t="n">
        <v>488</v>
      </c>
      <c r="E1913" t="s">
        <v>1920</v>
      </c>
      <c r="F1913" t="s"/>
      <c r="G1913" t="s"/>
      <c r="H1913" t="s"/>
      <c r="I1913" t="s"/>
      <c r="J1913" t="n">
        <v>0.4404</v>
      </c>
      <c r="K1913" t="n">
        <v>0</v>
      </c>
      <c r="L1913" t="n">
        <v>0.879</v>
      </c>
      <c r="M1913" t="n">
        <v>0.121</v>
      </c>
    </row>
    <row r="1914" spans="1:13">
      <c r="A1914" s="1">
        <f>HYPERLINK("http://www.twitter.com/NathanBLawrence/status/991327437563686912", "991327437563686912")</f>
        <v/>
      </c>
      <c r="B1914" s="2" t="n">
        <v>43221.61403935185</v>
      </c>
      <c r="C1914" t="n">
        <v>0</v>
      </c>
      <c r="D1914" t="n">
        <v>0</v>
      </c>
      <c r="E1914" t="s">
        <v>1921</v>
      </c>
      <c r="F1914" t="s"/>
      <c r="G1914" t="s"/>
      <c r="H1914" t="s"/>
      <c r="I1914" t="s"/>
      <c r="J1914" t="n">
        <v>-0.7351</v>
      </c>
      <c r="K1914" t="n">
        <v>0.323</v>
      </c>
      <c r="L1914" t="n">
        <v>0.677</v>
      </c>
      <c r="M1914" t="n">
        <v>0</v>
      </c>
    </row>
    <row r="1915" spans="1:13">
      <c r="A1915" s="1">
        <f>HYPERLINK("http://www.twitter.com/NathanBLawrence/status/991326228647833600", "991326228647833600")</f>
        <v/>
      </c>
      <c r="B1915" s="2" t="n">
        <v>43221.61070601852</v>
      </c>
      <c r="C1915" t="n">
        <v>0</v>
      </c>
      <c r="D1915" t="n">
        <v>2267</v>
      </c>
      <c r="E1915" t="s">
        <v>1922</v>
      </c>
      <c r="F1915">
        <f>HYPERLINK("http://pbs.twimg.com/media/DcHHURxU8AACTLx.jpg", "http://pbs.twimg.com/media/DcHHURxU8AACTLx.jpg")</f>
        <v/>
      </c>
      <c r="G1915" t="s"/>
      <c r="H1915" t="s"/>
      <c r="I1915" t="s"/>
      <c r="J1915" t="n">
        <v>-0.4788</v>
      </c>
      <c r="K1915" t="n">
        <v>0.241</v>
      </c>
      <c r="L1915" t="n">
        <v>0.521</v>
      </c>
      <c r="M1915" t="n">
        <v>0.238</v>
      </c>
    </row>
    <row r="1916" spans="1:13">
      <c r="A1916" s="1">
        <f>HYPERLINK("http://www.twitter.com/NathanBLawrence/status/991325992240037888", "991325992240037888")</f>
        <v/>
      </c>
      <c r="B1916" s="2" t="n">
        <v>43221.61005787037</v>
      </c>
      <c r="C1916" t="n">
        <v>0</v>
      </c>
      <c r="D1916" t="n">
        <v>18354</v>
      </c>
      <c r="E1916" t="s">
        <v>1923</v>
      </c>
      <c r="F1916" t="s"/>
      <c r="G1916" t="s"/>
      <c r="H1916" t="s"/>
      <c r="I1916" t="s"/>
      <c r="J1916" t="n">
        <v>-0.1779</v>
      </c>
      <c r="K1916" t="n">
        <v>0.105</v>
      </c>
      <c r="L1916" t="n">
        <v>0.8169999999999999</v>
      </c>
      <c r="M1916" t="n">
        <v>0.078</v>
      </c>
    </row>
    <row r="1917" spans="1:13">
      <c r="A1917" s="1">
        <f>HYPERLINK("http://www.twitter.com/NathanBLawrence/status/991325875386789888", "991325875386789888")</f>
        <v/>
      </c>
      <c r="B1917" s="2" t="n">
        <v>43221.60973379629</v>
      </c>
      <c r="C1917" t="n">
        <v>0</v>
      </c>
      <c r="D1917" t="n">
        <v>3875</v>
      </c>
      <c r="E1917" t="s">
        <v>1924</v>
      </c>
      <c r="F1917">
        <f>HYPERLINK("http://pbs.twimg.com/media/DcHdHCxV4AEmCUP.jpg", "http://pbs.twimg.com/media/DcHdHCxV4AEmCUP.jpg")</f>
        <v/>
      </c>
      <c r="G1917" t="s"/>
      <c r="H1917" t="s"/>
      <c r="I1917" t="s"/>
      <c r="J1917" t="n">
        <v>0.4939</v>
      </c>
      <c r="K1917" t="n">
        <v>0</v>
      </c>
      <c r="L1917" t="n">
        <v>0.862</v>
      </c>
      <c r="M1917" t="n">
        <v>0.138</v>
      </c>
    </row>
    <row r="1918" spans="1:13">
      <c r="A1918" s="1">
        <f>HYPERLINK("http://www.twitter.com/NathanBLawrence/status/991325762966798337", "991325762966798337")</f>
        <v/>
      </c>
      <c r="B1918" s="2" t="n">
        <v>43221.6094212963</v>
      </c>
      <c r="C1918" t="n">
        <v>0</v>
      </c>
      <c r="D1918" t="n">
        <v>904</v>
      </c>
      <c r="E1918" t="s">
        <v>1925</v>
      </c>
      <c r="F1918">
        <f>HYPERLINK("https://video.twimg.com/amplify_video/991025683743719424/vid/1280x720/5eh0vR1vbkDdIb8X.mp4?tag=2", "https://video.twimg.com/amplify_video/991025683743719424/vid/1280x720/5eh0vR1vbkDdIb8X.mp4?tag=2")</f>
        <v/>
      </c>
      <c r="G1918" t="s"/>
      <c r="H1918" t="s"/>
      <c r="I1918" t="s"/>
      <c r="J1918" t="n">
        <v>0.6486</v>
      </c>
      <c r="K1918" t="n">
        <v>0</v>
      </c>
      <c r="L1918" t="n">
        <v>0.751</v>
      </c>
      <c r="M1918" t="n">
        <v>0.249</v>
      </c>
    </row>
    <row r="1919" spans="1:13">
      <c r="A1919" s="1">
        <f>HYPERLINK("http://www.twitter.com/NathanBLawrence/status/991325588454440962", "991325588454440962")</f>
        <v/>
      </c>
      <c r="B1919" s="2" t="n">
        <v>43221.60893518518</v>
      </c>
      <c r="C1919" t="n">
        <v>0</v>
      </c>
      <c r="D1919" t="n">
        <v>1102</v>
      </c>
      <c r="E1919" t="s">
        <v>1926</v>
      </c>
      <c r="F1919" t="s"/>
      <c r="G1919" t="s"/>
      <c r="H1919" t="s"/>
      <c r="I1919" t="s"/>
      <c r="J1919" t="n">
        <v>0.5165</v>
      </c>
      <c r="K1919" t="n">
        <v>0.059</v>
      </c>
      <c r="L1919" t="n">
        <v>0.75</v>
      </c>
      <c r="M1919" t="n">
        <v>0.191</v>
      </c>
    </row>
    <row r="1920" spans="1:13">
      <c r="A1920" s="1">
        <f>HYPERLINK("http://www.twitter.com/NathanBLawrence/status/991325523564363776", "991325523564363776")</f>
        <v/>
      </c>
      <c r="B1920" s="2" t="n">
        <v>43221.60876157408</v>
      </c>
      <c r="C1920" t="n">
        <v>0</v>
      </c>
      <c r="D1920" t="n">
        <v>7690</v>
      </c>
      <c r="E1920" t="s">
        <v>1927</v>
      </c>
      <c r="F1920" t="s"/>
      <c r="G1920" t="s"/>
      <c r="H1920" t="s"/>
      <c r="I1920" t="s"/>
      <c r="J1920" t="n">
        <v>-0.08649999999999999</v>
      </c>
      <c r="K1920" t="n">
        <v>0.107</v>
      </c>
      <c r="L1920" t="n">
        <v>0.801</v>
      </c>
      <c r="M1920" t="n">
        <v>0.092</v>
      </c>
    </row>
    <row r="1921" spans="1:13">
      <c r="A1921" s="1">
        <f>HYPERLINK("http://www.twitter.com/NathanBLawrence/status/991325476701392896", "991325476701392896")</f>
        <v/>
      </c>
      <c r="B1921" s="2" t="n">
        <v>43221.60863425926</v>
      </c>
      <c r="C1921" t="n">
        <v>0</v>
      </c>
      <c r="D1921" t="n">
        <v>80</v>
      </c>
      <c r="E1921" t="s">
        <v>1928</v>
      </c>
      <c r="F1921">
        <f>HYPERLINK("http://pbs.twimg.com/media/DcHRCfRUwAAXbza.jpg", "http://pbs.twimg.com/media/DcHRCfRUwAAXbza.jpg")</f>
        <v/>
      </c>
      <c r="G1921">
        <f>HYPERLINK("http://pbs.twimg.com/media/DcHRBBnVAAIZXaQ.jpg", "http://pbs.twimg.com/media/DcHRBBnVAAIZXaQ.jpg")</f>
        <v/>
      </c>
      <c r="H1921">
        <f>HYPERLINK("http://pbs.twimg.com/media/DcHRBBnVQAA7Gh-.jpg", "http://pbs.twimg.com/media/DcHRBBnVQAA7Gh-.jpg")</f>
        <v/>
      </c>
      <c r="I1921" t="s"/>
      <c r="J1921" t="n">
        <v>0.802</v>
      </c>
      <c r="K1921" t="n">
        <v>0</v>
      </c>
      <c r="L1921" t="n">
        <v>0.66</v>
      </c>
      <c r="M1921" t="n">
        <v>0.34</v>
      </c>
    </row>
    <row r="1922" spans="1:13">
      <c r="A1922" s="1">
        <f>HYPERLINK("http://www.twitter.com/NathanBLawrence/status/991325445277663232", "991325445277663232")</f>
        <v/>
      </c>
      <c r="B1922" s="2" t="n">
        <v>43221.60854166667</v>
      </c>
      <c r="C1922" t="n">
        <v>0</v>
      </c>
      <c r="D1922" t="n">
        <v>73</v>
      </c>
      <c r="E1922" t="s">
        <v>1929</v>
      </c>
      <c r="F1922">
        <f>HYPERLINK("http://pbs.twimg.com/media/DcHQ2SDV0AAQszy.jpg", "http://pbs.twimg.com/media/DcHQ2SDV0AAQszy.jpg")</f>
        <v/>
      </c>
      <c r="G1922">
        <f>HYPERLINK("http://pbs.twimg.com/media/DcHQ2SJVMAEvuIM.jpg", "http://pbs.twimg.com/media/DcHQ2SJVMAEvuIM.jpg")</f>
        <v/>
      </c>
      <c r="H1922">
        <f>HYPERLINK("http://pbs.twimg.com/media/DcHQ2SXV4AM2APX.jpg", "http://pbs.twimg.com/media/DcHQ2SXV4AM2APX.jpg")</f>
        <v/>
      </c>
      <c r="I1922">
        <f>HYPERLINK("http://pbs.twimg.com/media/DcHQ2SKVAAInLBO.jpg", "http://pbs.twimg.com/media/DcHQ2SKVAAInLBO.jpg")</f>
        <v/>
      </c>
      <c r="J1922" t="n">
        <v>0</v>
      </c>
      <c r="K1922" t="n">
        <v>0</v>
      </c>
      <c r="L1922" t="n">
        <v>1</v>
      </c>
      <c r="M1922" t="n">
        <v>0</v>
      </c>
    </row>
    <row r="1923" spans="1:13">
      <c r="A1923" s="1">
        <f>HYPERLINK("http://www.twitter.com/NathanBLawrence/status/991325149814140928", "991325149814140928")</f>
        <v/>
      </c>
      <c r="B1923" s="2" t="n">
        <v>43221.60773148148</v>
      </c>
      <c r="C1923" t="n">
        <v>0</v>
      </c>
      <c r="D1923" t="n">
        <v>16577</v>
      </c>
      <c r="E1923" t="s">
        <v>1930</v>
      </c>
      <c r="F1923" t="s"/>
      <c r="G1923" t="s"/>
      <c r="H1923" t="s"/>
      <c r="I1923" t="s"/>
      <c r="J1923" t="n">
        <v>0</v>
      </c>
      <c r="K1923" t="n">
        <v>0</v>
      </c>
      <c r="L1923" t="n">
        <v>1</v>
      </c>
      <c r="M1923" t="n">
        <v>0</v>
      </c>
    </row>
    <row r="1924" spans="1:13">
      <c r="A1924" s="1">
        <f>HYPERLINK("http://www.twitter.com/NathanBLawrence/status/991324625924587520", "991324625924587520")</f>
        <v/>
      </c>
      <c r="B1924" s="2" t="n">
        <v>43221.60628472222</v>
      </c>
      <c r="C1924" t="n">
        <v>0</v>
      </c>
      <c r="D1924" t="n">
        <v>8</v>
      </c>
      <c r="E1924" t="s">
        <v>1931</v>
      </c>
      <c r="F1924">
        <f>HYPERLINK("http://pbs.twimg.com/media/DcHNrLFWsAAejLs.jpg", "http://pbs.twimg.com/media/DcHNrLFWsAAejLs.jpg")</f>
        <v/>
      </c>
      <c r="G1924" t="s"/>
      <c r="H1924" t="s"/>
      <c r="I1924" t="s"/>
      <c r="J1924" t="n">
        <v>0</v>
      </c>
      <c r="K1924" t="n">
        <v>0</v>
      </c>
      <c r="L1924" t="n">
        <v>1</v>
      </c>
      <c r="M1924" t="n">
        <v>0</v>
      </c>
    </row>
    <row r="1925" spans="1:13">
      <c r="A1925" s="1">
        <f>HYPERLINK("http://www.twitter.com/NathanBLawrence/status/991324059517382656", "991324059517382656")</f>
        <v/>
      </c>
      <c r="B1925" s="2" t="n">
        <v>43221.60472222222</v>
      </c>
      <c r="C1925" t="n">
        <v>0</v>
      </c>
      <c r="D1925" t="n">
        <v>601</v>
      </c>
      <c r="E1925" t="s">
        <v>1932</v>
      </c>
      <c r="F1925">
        <f>HYPERLINK("http://pbs.twimg.com/media/DcHCTx0X0AAAxaw.jpg", "http://pbs.twimg.com/media/DcHCTx0X0AAAxaw.jpg")</f>
        <v/>
      </c>
      <c r="G1925" t="s"/>
      <c r="H1925" t="s"/>
      <c r="I1925" t="s"/>
      <c r="J1925" t="n">
        <v>0</v>
      </c>
      <c r="K1925" t="n">
        <v>0</v>
      </c>
      <c r="L1925" t="n">
        <v>1</v>
      </c>
      <c r="M1925" t="n">
        <v>0</v>
      </c>
    </row>
    <row r="1926" spans="1:13">
      <c r="A1926" s="1">
        <f>HYPERLINK("http://www.twitter.com/NathanBLawrence/status/991322549161152513", "991322549161152513")</f>
        <v/>
      </c>
      <c r="B1926" s="2" t="n">
        <v>43221.60055555555</v>
      </c>
      <c r="C1926" t="n">
        <v>0</v>
      </c>
      <c r="D1926" t="n">
        <v>422</v>
      </c>
      <c r="E1926" t="s">
        <v>1933</v>
      </c>
      <c r="F1926" t="s"/>
      <c r="G1926" t="s"/>
      <c r="H1926" t="s"/>
      <c r="I1926" t="s"/>
      <c r="J1926" t="n">
        <v>-0.1007</v>
      </c>
      <c r="K1926" t="n">
        <v>0.181</v>
      </c>
      <c r="L1926" t="n">
        <v>0.652</v>
      </c>
      <c r="M1926" t="n">
        <v>0.167</v>
      </c>
    </row>
    <row r="1927" spans="1:13">
      <c r="A1927" s="1">
        <f>HYPERLINK("http://www.twitter.com/NathanBLawrence/status/991322273943437312", "991322273943437312")</f>
        <v/>
      </c>
      <c r="B1927" s="2" t="n">
        <v>43221.59979166667</v>
      </c>
      <c r="C1927" t="n">
        <v>0</v>
      </c>
      <c r="D1927" t="n">
        <v>190</v>
      </c>
      <c r="E1927" t="s">
        <v>1934</v>
      </c>
      <c r="F1927">
        <f>HYPERLINK("http://pbs.twimg.com/media/DcHXiCUV4AAD0bS.jpg", "http://pbs.twimg.com/media/DcHXiCUV4AAD0bS.jpg")</f>
        <v/>
      </c>
      <c r="G1927" t="s"/>
      <c r="H1927" t="s"/>
      <c r="I1927" t="s"/>
      <c r="J1927" t="n">
        <v>0</v>
      </c>
      <c r="K1927" t="n">
        <v>0.136</v>
      </c>
      <c r="L1927" t="n">
        <v>0.728</v>
      </c>
      <c r="M1927" t="n">
        <v>0.136</v>
      </c>
    </row>
    <row r="1928" spans="1:13">
      <c r="A1928" s="1">
        <f>HYPERLINK("http://www.twitter.com/NathanBLawrence/status/991322131064500226", "991322131064500226")</f>
        <v/>
      </c>
      <c r="B1928" s="2" t="n">
        <v>43221.59939814815</v>
      </c>
      <c r="C1928" t="n">
        <v>0</v>
      </c>
      <c r="D1928" t="n">
        <v>26376</v>
      </c>
      <c r="E1928" t="s">
        <v>1935</v>
      </c>
      <c r="F1928" t="s"/>
      <c r="G1928" t="s"/>
      <c r="H1928" t="s"/>
      <c r="I1928" t="s"/>
      <c r="J1928" t="n">
        <v>-0.5719</v>
      </c>
      <c r="K1928" t="n">
        <v>0.198</v>
      </c>
      <c r="L1928" t="n">
        <v>0.802</v>
      </c>
      <c r="M1928" t="n">
        <v>0</v>
      </c>
    </row>
    <row r="1929" spans="1:13">
      <c r="A1929" s="1">
        <f>HYPERLINK("http://www.twitter.com/NathanBLawrence/status/991322008313970688", "991322008313970688")</f>
        <v/>
      </c>
      <c r="B1929" s="2" t="n">
        <v>43221.5990625</v>
      </c>
      <c r="C1929" t="n">
        <v>0</v>
      </c>
      <c r="D1929" t="n">
        <v>962</v>
      </c>
      <c r="E1929" t="s">
        <v>1936</v>
      </c>
      <c r="F1929" t="s"/>
      <c r="G1929" t="s"/>
      <c r="H1929" t="s"/>
      <c r="I1929" t="s"/>
      <c r="J1929" t="n">
        <v>0.1027</v>
      </c>
      <c r="K1929" t="n">
        <v>0.092</v>
      </c>
      <c r="L1929" t="n">
        <v>0.8</v>
      </c>
      <c r="M1929" t="n">
        <v>0.108</v>
      </c>
    </row>
    <row r="1930" spans="1:13">
      <c r="A1930" s="1">
        <f>HYPERLINK("http://www.twitter.com/NathanBLawrence/status/991321969986486272", "991321969986486272")</f>
        <v/>
      </c>
      <c r="B1930" s="2" t="n">
        <v>43221.59895833334</v>
      </c>
      <c r="C1930" t="n">
        <v>0</v>
      </c>
      <c r="D1930" t="n">
        <v>1044</v>
      </c>
      <c r="E1930" t="s">
        <v>1937</v>
      </c>
      <c r="F1930" t="s"/>
      <c r="G1930" t="s"/>
      <c r="H1930" t="s"/>
      <c r="I1930" t="s"/>
      <c r="J1930" t="n">
        <v>0.4588</v>
      </c>
      <c r="K1930" t="n">
        <v>0.13</v>
      </c>
      <c r="L1930" t="n">
        <v>0.599</v>
      </c>
      <c r="M1930" t="n">
        <v>0.271</v>
      </c>
    </row>
    <row r="1931" spans="1:13">
      <c r="A1931" s="1">
        <f>HYPERLINK("http://www.twitter.com/NathanBLawrence/status/991321830907461637", "991321830907461637")</f>
        <v/>
      </c>
      <c r="B1931" s="2" t="n">
        <v>43221.59857638889</v>
      </c>
      <c r="C1931" t="n">
        <v>0</v>
      </c>
      <c r="D1931" t="n">
        <v>432</v>
      </c>
      <c r="E1931" t="s">
        <v>1938</v>
      </c>
      <c r="F1931">
        <f>HYPERLINK("http://pbs.twimg.com/media/DcHXI8pVMAAt9Mr.jpg", "http://pbs.twimg.com/media/DcHXI8pVMAAt9Mr.jpg")</f>
        <v/>
      </c>
      <c r="G1931" t="s"/>
      <c r="H1931" t="s"/>
      <c r="I1931" t="s"/>
      <c r="J1931" t="n">
        <v>0.4588</v>
      </c>
      <c r="K1931" t="n">
        <v>0</v>
      </c>
      <c r="L1931" t="n">
        <v>0.846</v>
      </c>
      <c r="M1931" t="n">
        <v>0.154</v>
      </c>
    </row>
    <row r="1932" spans="1:13">
      <c r="A1932" s="1">
        <f>HYPERLINK("http://www.twitter.com/NathanBLawrence/status/991321293952729089", "991321293952729089")</f>
        <v/>
      </c>
      <c r="B1932" s="2" t="n">
        <v>43221.59708333333</v>
      </c>
      <c r="C1932" t="n">
        <v>0</v>
      </c>
      <c r="D1932" t="n">
        <v>2210</v>
      </c>
      <c r="E1932" t="s">
        <v>1939</v>
      </c>
      <c r="F1932" t="s"/>
      <c r="G1932" t="s"/>
      <c r="H1932" t="s"/>
      <c r="I1932" t="s"/>
      <c r="J1932" t="n">
        <v>0.6705</v>
      </c>
      <c r="K1932" t="n">
        <v>0.076</v>
      </c>
      <c r="L1932" t="n">
        <v>0.698</v>
      </c>
      <c r="M1932" t="n">
        <v>0.226</v>
      </c>
    </row>
    <row r="1933" spans="1:13">
      <c r="A1933" s="1">
        <f>HYPERLINK("http://www.twitter.com/NathanBLawrence/status/991321230371246080", "991321230371246080")</f>
        <v/>
      </c>
      <c r="B1933" s="2" t="n">
        <v>43221.59690972222</v>
      </c>
      <c r="C1933" t="n">
        <v>0</v>
      </c>
      <c r="D1933" t="n">
        <v>938</v>
      </c>
      <c r="E1933" t="s">
        <v>1940</v>
      </c>
      <c r="F1933" t="s"/>
      <c r="G1933" t="s"/>
      <c r="H1933" t="s"/>
      <c r="I1933" t="s"/>
      <c r="J1933" t="n">
        <v>-0.7435</v>
      </c>
      <c r="K1933" t="n">
        <v>0.346</v>
      </c>
      <c r="L1933" t="n">
        <v>0.5649999999999999</v>
      </c>
      <c r="M1933" t="n">
        <v>0.08799999999999999</v>
      </c>
    </row>
    <row r="1934" spans="1:13">
      <c r="A1934" s="1">
        <f>HYPERLINK("http://www.twitter.com/NathanBLawrence/status/991320467846778880", "991320467846778880")</f>
        <v/>
      </c>
      <c r="B1934" s="2" t="n">
        <v>43221.59481481482</v>
      </c>
      <c r="C1934" t="n">
        <v>0</v>
      </c>
      <c r="D1934" t="n">
        <v>606</v>
      </c>
      <c r="E1934" t="s">
        <v>1941</v>
      </c>
      <c r="F1934">
        <f>HYPERLINK("http://pbs.twimg.com/media/DcHeH7FVAAAZdG8.jpg", "http://pbs.twimg.com/media/DcHeH7FVAAAZdG8.jpg")</f>
        <v/>
      </c>
      <c r="G1934" t="s"/>
      <c r="H1934" t="s"/>
      <c r="I1934" t="s"/>
      <c r="J1934" t="n">
        <v>0.5994</v>
      </c>
      <c r="K1934" t="n">
        <v>0</v>
      </c>
      <c r="L1934" t="n">
        <v>0.588</v>
      </c>
      <c r="M1934" t="n">
        <v>0.412</v>
      </c>
    </row>
    <row r="1935" spans="1:13">
      <c r="A1935" s="1">
        <f>HYPERLINK("http://www.twitter.com/NathanBLawrence/status/991320431033368582", "991320431033368582")</f>
        <v/>
      </c>
      <c r="B1935" s="2" t="n">
        <v>43221.59471064815</v>
      </c>
      <c r="C1935" t="n">
        <v>0</v>
      </c>
      <c r="D1935" t="n">
        <v>3027</v>
      </c>
      <c r="E1935" t="s">
        <v>1942</v>
      </c>
      <c r="F1935">
        <f>HYPERLINK("http://pbs.twimg.com/media/DcHQAYjVMAAQjW8.jpg", "http://pbs.twimg.com/media/DcHQAYjVMAAQjW8.jpg")</f>
        <v/>
      </c>
      <c r="G1935" t="s"/>
      <c r="H1935" t="s"/>
      <c r="I1935" t="s"/>
      <c r="J1935" t="n">
        <v>-0.3094</v>
      </c>
      <c r="K1935" t="n">
        <v>0.107</v>
      </c>
      <c r="L1935" t="n">
        <v>0.838</v>
      </c>
      <c r="M1935" t="n">
        <v>0.054</v>
      </c>
    </row>
    <row r="1936" spans="1:13">
      <c r="A1936" s="1">
        <f>HYPERLINK("http://www.twitter.com/NathanBLawrence/status/991320324196024320", "991320324196024320")</f>
        <v/>
      </c>
      <c r="B1936" s="2" t="n">
        <v>43221.59440972222</v>
      </c>
      <c r="C1936" t="n">
        <v>0</v>
      </c>
      <c r="D1936" t="n">
        <v>2826</v>
      </c>
      <c r="E1936" t="s">
        <v>1943</v>
      </c>
      <c r="F1936">
        <f>HYPERLINK("http://pbs.twimg.com/media/DcGHMSYW0AAYDTR.jpg", "http://pbs.twimg.com/media/DcGHMSYW0AAYDTR.jpg")</f>
        <v/>
      </c>
      <c r="G1936">
        <f>HYPERLINK("http://pbs.twimg.com/media/DcGHMScWAAACA69.jpg", "http://pbs.twimg.com/media/DcGHMScWAAACA69.jpg")</f>
        <v/>
      </c>
      <c r="H1936" t="s"/>
      <c r="I1936" t="s"/>
      <c r="J1936" t="n">
        <v>-0.6486</v>
      </c>
      <c r="K1936" t="n">
        <v>0.185</v>
      </c>
      <c r="L1936" t="n">
        <v>0.8149999999999999</v>
      </c>
      <c r="M1936" t="n">
        <v>0</v>
      </c>
    </row>
    <row r="1937" spans="1:13">
      <c r="A1937" s="1">
        <f>HYPERLINK("http://www.twitter.com/NathanBLawrence/status/991320056838541312", "991320056838541312")</f>
        <v/>
      </c>
      <c r="B1937" s="2" t="n">
        <v>43221.59368055555</v>
      </c>
      <c r="C1937" t="n">
        <v>0</v>
      </c>
      <c r="D1937" t="n">
        <v>1167</v>
      </c>
      <c r="E1937" t="s">
        <v>1944</v>
      </c>
      <c r="F1937" t="s"/>
      <c r="G1937" t="s"/>
      <c r="H1937" t="s"/>
      <c r="I1937" t="s"/>
      <c r="J1937" t="n">
        <v>0.296</v>
      </c>
      <c r="K1937" t="n">
        <v>0</v>
      </c>
      <c r="L1937" t="n">
        <v>0.909</v>
      </c>
      <c r="M1937" t="n">
        <v>0.091</v>
      </c>
    </row>
    <row r="1938" spans="1:13">
      <c r="A1938" s="1">
        <f>HYPERLINK("http://www.twitter.com/NathanBLawrence/status/991319883198513152", "991319883198513152")</f>
        <v/>
      </c>
      <c r="B1938" s="2" t="n">
        <v>43221.59319444445</v>
      </c>
      <c r="C1938" t="n">
        <v>0</v>
      </c>
      <c r="D1938" t="n">
        <v>1386</v>
      </c>
      <c r="E1938" t="s">
        <v>1945</v>
      </c>
      <c r="F1938" t="s"/>
      <c r="G1938" t="s"/>
      <c r="H1938" t="s"/>
      <c r="I1938" t="s"/>
      <c r="J1938" t="n">
        <v>-0.3182</v>
      </c>
      <c r="K1938" t="n">
        <v>0.115</v>
      </c>
      <c r="L1938" t="n">
        <v>0.8179999999999999</v>
      </c>
      <c r="M1938" t="n">
        <v>0.067</v>
      </c>
    </row>
    <row r="1939" spans="1:13">
      <c r="A1939" s="1">
        <f>HYPERLINK("http://www.twitter.com/NathanBLawrence/status/991319709764141056", "991319709764141056")</f>
        <v/>
      </c>
      <c r="B1939" s="2" t="n">
        <v>43221.59271990741</v>
      </c>
      <c r="C1939" t="n">
        <v>0</v>
      </c>
      <c r="D1939" t="n">
        <v>1474</v>
      </c>
      <c r="E1939" t="s">
        <v>1946</v>
      </c>
      <c r="F1939" t="s"/>
      <c r="G1939" t="s"/>
      <c r="H1939" t="s"/>
      <c r="I1939" t="s"/>
      <c r="J1939" t="n">
        <v>0</v>
      </c>
      <c r="K1939" t="n">
        <v>0</v>
      </c>
      <c r="L1939" t="n">
        <v>1</v>
      </c>
      <c r="M1939" t="n">
        <v>0</v>
      </c>
    </row>
    <row r="1940" spans="1:13">
      <c r="A1940" s="1">
        <f>HYPERLINK("http://www.twitter.com/NathanBLawrence/status/991319512124280832", "991319512124280832")</f>
        <v/>
      </c>
      <c r="B1940" s="2" t="n">
        <v>43221.59217592593</v>
      </c>
      <c r="C1940" t="n">
        <v>0</v>
      </c>
      <c r="D1940" t="n">
        <v>593</v>
      </c>
      <c r="E1940" t="s">
        <v>1947</v>
      </c>
      <c r="F1940">
        <f>HYPERLINK("http://pbs.twimg.com/media/DcEUBVSV0AAqkWe.jpg", "http://pbs.twimg.com/media/DcEUBVSV0AAqkWe.jpg")</f>
        <v/>
      </c>
      <c r="G1940" t="s"/>
      <c r="H1940" t="s"/>
      <c r="I1940" t="s"/>
      <c r="J1940" t="n">
        <v>0.3818</v>
      </c>
      <c r="K1940" t="n">
        <v>0.104</v>
      </c>
      <c r="L1940" t="n">
        <v>0.6919999999999999</v>
      </c>
      <c r="M1940" t="n">
        <v>0.204</v>
      </c>
    </row>
    <row r="1941" spans="1:13">
      <c r="A1941" s="1">
        <f>HYPERLINK("http://www.twitter.com/NathanBLawrence/status/991319278300246016", "991319278300246016")</f>
        <v/>
      </c>
      <c r="B1941" s="2" t="n">
        <v>43221.59152777777</v>
      </c>
      <c r="C1941" t="n">
        <v>0</v>
      </c>
      <c r="D1941" t="n">
        <v>2078</v>
      </c>
      <c r="E1941" t="s">
        <v>1948</v>
      </c>
      <c r="F1941" t="s"/>
      <c r="G1941" t="s"/>
      <c r="H1941" t="s"/>
      <c r="I1941" t="s"/>
      <c r="J1941" t="n">
        <v>-0.6908</v>
      </c>
      <c r="K1941" t="n">
        <v>0.183</v>
      </c>
      <c r="L1941" t="n">
        <v>0.8169999999999999</v>
      </c>
      <c r="M1941" t="n">
        <v>0</v>
      </c>
    </row>
    <row r="1942" spans="1:13">
      <c r="A1942" s="1">
        <f>HYPERLINK("http://www.twitter.com/NathanBLawrence/status/991319116815335424", "991319116815335424")</f>
        <v/>
      </c>
      <c r="B1942" s="2" t="n">
        <v>43221.59107638889</v>
      </c>
      <c r="C1942" t="n">
        <v>0</v>
      </c>
      <c r="D1942" t="n">
        <v>2948</v>
      </c>
      <c r="E1942" t="s">
        <v>1949</v>
      </c>
      <c r="F1942" t="s"/>
      <c r="G1942" t="s"/>
      <c r="H1942" t="s"/>
      <c r="I1942" t="s"/>
      <c r="J1942" t="n">
        <v>0</v>
      </c>
      <c r="K1942" t="n">
        <v>0</v>
      </c>
      <c r="L1942" t="n">
        <v>1</v>
      </c>
      <c r="M1942" t="n">
        <v>0</v>
      </c>
    </row>
    <row r="1943" spans="1:13">
      <c r="A1943" s="1">
        <f>HYPERLINK("http://www.twitter.com/NathanBLawrence/status/991319056388014080", "991319056388014080")</f>
        <v/>
      </c>
      <c r="B1943" s="2" t="n">
        <v>43221.59091435185</v>
      </c>
      <c r="C1943" t="n">
        <v>0</v>
      </c>
      <c r="D1943" t="n">
        <v>3070</v>
      </c>
      <c r="E1943" t="s">
        <v>1950</v>
      </c>
      <c r="F1943">
        <f>HYPERLINK("http://pbs.twimg.com/media/DcGdPFjXUAAVq6M.jpg", "http://pbs.twimg.com/media/DcGdPFjXUAAVq6M.jpg")</f>
        <v/>
      </c>
      <c r="G1943" t="s"/>
      <c r="H1943" t="s"/>
      <c r="I1943" t="s"/>
      <c r="J1943" t="n">
        <v>-0.6731</v>
      </c>
      <c r="K1943" t="n">
        <v>0.272</v>
      </c>
      <c r="L1943" t="n">
        <v>0.576</v>
      </c>
      <c r="M1943" t="n">
        <v>0.152</v>
      </c>
    </row>
    <row r="1944" spans="1:13">
      <c r="A1944" s="1">
        <f>HYPERLINK("http://www.twitter.com/NathanBLawrence/status/991318889400156160", "991318889400156160")</f>
        <v/>
      </c>
      <c r="B1944" s="2" t="n">
        <v>43221.59045138889</v>
      </c>
      <c r="C1944" t="n">
        <v>0</v>
      </c>
      <c r="D1944" t="n">
        <v>6241</v>
      </c>
      <c r="E1944" t="s">
        <v>1951</v>
      </c>
      <c r="F1944" t="s"/>
      <c r="G1944" t="s"/>
      <c r="H1944" t="s"/>
      <c r="I1944" t="s"/>
      <c r="J1944" t="n">
        <v>-0.1154</v>
      </c>
      <c r="K1944" t="n">
        <v>0.173</v>
      </c>
      <c r="L1944" t="n">
        <v>0.668</v>
      </c>
      <c r="M1944" t="n">
        <v>0.159</v>
      </c>
    </row>
    <row r="1945" spans="1:13">
      <c r="A1945" s="1">
        <f>HYPERLINK("http://www.twitter.com/NathanBLawrence/status/991318825202171909", "991318825202171909")</f>
        <v/>
      </c>
      <c r="B1945" s="2" t="n">
        <v>43221.59027777778</v>
      </c>
      <c r="C1945" t="n">
        <v>0</v>
      </c>
      <c r="D1945" t="n">
        <v>18</v>
      </c>
      <c r="E1945" t="s">
        <v>1952</v>
      </c>
      <c r="F1945" t="s"/>
      <c r="G1945" t="s"/>
      <c r="H1945" t="s"/>
      <c r="I1945" t="s"/>
      <c r="J1945" t="n">
        <v>0</v>
      </c>
      <c r="K1945" t="n">
        <v>0</v>
      </c>
      <c r="L1945" t="n">
        <v>1</v>
      </c>
      <c r="M1945" t="n">
        <v>0</v>
      </c>
    </row>
    <row r="1946" spans="1:13">
      <c r="A1946" s="1">
        <f>HYPERLINK("http://www.twitter.com/NathanBLawrence/status/991318693878513665", "991318693878513665")</f>
        <v/>
      </c>
      <c r="B1946" s="2" t="n">
        <v>43221.58991898148</v>
      </c>
      <c r="C1946" t="n">
        <v>0</v>
      </c>
      <c r="D1946" t="n">
        <v>3153</v>
      </c>
      <c r="E1946" t="s">
        <v>1953</v>
      </c>
      <c r="F1946">
        <f>HYPERLINK("http://pbs.twimg.com/media/DcHXUuaX4AA18ML.jpg", "http://pbs.twimg.com/media/DcHXUuaX4AA18ML.jpg")</f>
        <v/>
      </c>
      <c r="G1946" t="s"/>
      <c r="H1946" t="s"/>
      <c r="I1946" t="s"/>
      <c r="J1946" t="n">
        <v>0</v>
      </c>
      <c r="K1946" t="n">
        <v>0</v>
      </c>
      <c r="L1946" t="n">
        <v>1</v>
      </c>
      <c r="M1946" t="n">
        <v>0</v>
      </c>
    </row>
    <row r="1947" spans="1:13">
      <c r="A1947" s="1">
        <f>HYPERLINK("http://www.twitter.com/NathanBLawrence/status/991318498373550080", "991318498373550080")</f>
        <v/>
      </c>
      <c r="B1947" s="2" t="n">
        <v>43221.589375</v>
      </c>
      <c r="C1947" t="n">
        <v>0</v>
      </c>
      <c r="D1947" t="n">
        <v>3363</v>
      </c>
      <c r="E1947" t="s">
        <v>1954</v>
      </c>
      <c r="F1947" t="s"/>
      <c r="G1947" t="s"/>
      <c r="H1947" t="s"/>
      <c r="I1947" t="s"/>
      <c r="J1947" t="n">
        <v>0.6633</v>
      </c>
      <c r="K1947" t="n">
        <v>0</v>
      </c>
      <c r="L1947" t="n">
        <v>0.844</v>
      </c>
      <c r="M1947" t="n">
        <v>0.156</v>
      </c>
    </row>
    <row r="1948" spans="1:13">
      <c r="A1948" s="1">
        <f>HYPERLINK("http://www.twitter.com/NathanBLawrence/status/991318357906309122", "991318357906309122")</f>
        <v/>
      </c>
      <c r="B1948" s="2" t="n">
        <v>43221.58898148148</v>
      </c>
      <c r="C1948" t="n">
        <v>0</v>
      </c>
      <c r="D1948" t="n">
        <v>26971</v>
      </c>
      <c r="E1948" t="s">
        <v>1955</v>
      </c>
      <c r="F1948" t="s"/>
      <c r="G1948" t="s"/>
      <c r="H1948" t="s"/>
      <c r="I1948" t="s"/>
      <c r="J1948" t="n">
        <v>0.2266</v>
      </c>
      <c r="K1948" t="n">
        <v>0.214</v>
      </c>
      <c r="L1948" t="n">
        <v>0.535</v>
      </c>
      <c r="M1948" t="n">
        <v>0.251</v>
      </c>
    </row>
    <row r="1949" spans="1:13">
      <c r="A1949" s="1">
        <f>HYPERLINK("http://www.twitter.com/NathanBLawrence/status/991194062039404544", "991194062039404544")</f>
        <v/>
      </c>
      <c r="B1949" s="2" t="n">
        <v>43221.24599537037</v>
      </c>
      <c r="C1949" t="n">
        <v>0</v>
      </c>
      <c r="D1949" t="n">
        <v>0</v>
      </c>
      <c r="E1949" t="s">
        <v>1956</v>
      </c>
      <c r="F1949" t="s"/>
      <c r="G1949" t="s"/>
      <c r="H1949" t="s"/>
      <c r="I1949" t="s"/>
      <c r="J1949" t="n">
        <v>0</v>
      </c>
      <c r="K1949" t="n">
        <v>0</v>
      </c>
      <c r="L1949" t="n">
        <v>1</v>
      </c>
      <c r="M1949" t="n">
        <v>0</v>
      </c>
    </row>
    <row r="1950" spans="1:13">
      <c r="A1950" s="1">
        <f>HYPERLINK("http://www.twitter.com/NathanBLawrence/status/991193831059013632", "991193831059013632")</f>
        <v/>
      </c>
      <c r="B1950" s="2" t="n">
        <v>43221.2453587963</v>
      </c>
      <c r="C1950" t="n">
        <v>1</v>
      </c>
      <c r="D1950" t="n">
        <v>1</v>
      </c>
      <c r="E1950" t="s">
        <v>1957</v>
      </c>
      <c r="F1950" t="s"/>
      <c r="G1950" t="s"/>
      <c r="H1950" t="s"/>
      <c r="I1950" t="s"/>
      <c r="J1950" t="n">
        <v>-0.9442</v>
      </c>
      <c r="K1950" t="n">
        <v>0.501</v>
      </c>
      <c r="L1950" t="n">
        <v>0.373</v>
      </c>
      <c r="M1950" t="n">
        <v>0.126</v>
      </c>
    </row>
    <row r="1951" spans="1:13">
      <c r="A1951" s="1">
        <f>HYPERLINK("http://www.twitter.com/NathanBLawrence/status/991193346944122881", "991193346944122881")</f>
        <v/>
      </c>
      <c r="B1951" s="2" t="n">
        <v>43221.24402777778</v>
      </c>
      <c r="C1951" t="n">
        <v>0</v>
      </c>
      <c r="D1951" t="n">
        <v>279</v>
      </c>
      <c r="E1951" t="s">
        <v>1958</v>
      </c>
      <c r="F1951">
        <f>HYPERLINK("http://pbs.twimg.com/media/DcEwI-nU8AAlyAv.jpg", "http://pbs.twimg.com/media/DcEwI-nU8AAlyAv.jpg")</f>
        <v/>
      </c>
      <c r="G1951" t="s"/>
      <c r="H1951" t="s"/>
      <c r="I1951" t="s"/>
      <c r="J1951" t="n">
        <v>0</v>
      </c>
      <c r="K1951" t="n">
        <v>0</v>
      </c>
      <c r="L1951" t="n">
        <v>1</v>
      </c>
      <c r="M1951" t="n">
        <v>0</v>
      </c>
    </row>
    <row r="1952" spans="1:13">
      <c r="A1952" s="1">
        <f>HYPERLINK("http://www.twitter.com/NathanBLawrence/status/991192179912597505", "991192179912597505")</f>
        <v/>
      </c>
      <c r="B1952" s="2" t="n">
        <v>43221.24079861111</v>
      </c>
      <c r="C1952" t="n">
        <v>1</v>
      </c>
      <c r="D1952" t="n">
        <v>0</v>
      </c>
      <c r="E1952" t="s">
        <v>1959</v>
      </c>
      <c r="F1952" t="s"/>
      <c r="G1952" t="s"/>
      <c r="H1952" t="s"/>
      <c r="I1952" t="s"/>
      <c r="J1952" t="n">
        <v>0</v>
      </c>
      <c r="K1952" t="n">
        <v>0</v>
      </c>
      <c r="L1952" t="n">
        <v>1</v>
      </c>
      <c r="M1952" t="n">
        <v>0</v>
      </c>
    </row>
    <row r="1953" spans="1:13">
      <c r="A1953" s="1">
        <f>HYPERLINK("http://www.twitter.com/NathanBLawrence/status/991192001797238784", "991192001797238784")</f>
        <v/>
      </c>
      <c r="B1953" s="2" t="n">
        <v>43221.2403125</v>
      </c>
      <c r="C1953" t="n">
        <v>5</v>
      </c>
      <c r="D1953" t="n">
        <v>0</v>
      </c>
      <c r="E1953" t="s">
        <v>1960</v>
      </c>
      <c r="F1953">
        <f>HYPERLINK("http://pbs.twimg.com/media/DcFrIF5V0AAX81a.jpg", "http://pbs.twimg.com/media/DcFrIF5V0AAX81a.jpg")</f>
        <v/>
      </c>
      <c r="G1953" t="s"/>
      <c r="H1953" t="s"/>
      <c r="I1953" t="s"/>
      <c r="J1953" t="n">
        <v>0.8979</v>
      </c>
      <c r="K1953" t="n">
        <v>0</v>
      </c>
      <c r="L1953" t="n">
        <v>0.669</v>
      </c>
      <c r="M1953" t="n">
        <v>0.331</v>
      </c>
    </row>
    <row r="1954" spans="1:13">
      <c r="A1954" s="1">
        <f>HYPERLINK("http://www.twitter.com/NathanBLawrence/status/991190860061528065", "991190860061528065")</f>
        <v/>
      </c>
      <c r="B1954" s="2" t="n">
        <v>43221.23716435185</v>
      </c>
      <c r="C1954" t="n">
        <v>4</v>
      </c>
      <c r="D1954" t="n">
        <v>1</v>
      </c>
      <c r="E1954" t="s">
        <v>1961</v>
      </c>
      <c r="F1954" t="s"/>
      <c r="G1954" t="s"/>
      <c r="H1954" t="s"/>
      <c r="I1954" t="s"/>
      <c r="J1954" t="n">
        <v>-0.6369</v>
      </c>
      <c r="K1954" t="n">
        <v>0.144</v>
      </c>
      <c r="L1954" t="n">
        <v>0.856</v>
      </c>
      <c r="M1954" t="n">
        <v>0</v>
      </c>
    </row>
    <row r="1955" spans="1:13">
      <c r="A1955" s="1">
        <f>HYPERLINK("http://www.twitter.com/NathanBLawrence/status/991190173923790849", "991190173923790849")</f>
        <v/>
      </c>
      <c r="B1955" s="2" t="n">
        <v>43221.2352662037</v>
      </c>
      <c r="C1955" t="n">
        <v>4</v>
      </c>
      <c r="D1955" t="n">
        <v>2</v>
      </c>
      <c r="E1955" t="s">
        <v>1962</v>
      </c>
      <c r="F1955">
        <f>HYPERLINK("http://pbs.twimg.com/media/DcFp2kPV0AAwDBE.jpg", "http://pbs.twimg.com/media/DcFp2kPV0AAwDBE.jpg")</f>
        <v/>
      </c>
      <c r="G1955" t="s"/>
      <c r="H1955" t="s"/>
      <c r="I1955" t="s"/>
      <c r="J1955" t="n">
        <v>-0.8745000000000001</v>
      </c>
      <c r="K1955" t="n">
        <v>0.214</v>
      </c>
      <c r="L1955" t="n">
        <v>0.786</v>
      </c>
      <c r="M1955" t="n">
        <v>0</v>
      </c>
    </row>
    <row r="1956" spans="1:13">
      <c r="A1956" s="1">
        <f>HYPERLINK("http://www.twitter.com/NathanBLawrence/status/991189650088734721", "991189650088734721")</f>
        <v/>
      </c>
      <c r="B1956" s="2" t="n">
        <v>43221.23381944445</v>
      </c>
      <c r="C1956" t="n">
        <v>4</v>
      </c>
      <c r="D1956" t="n">
        <v>2</v>
      </c>
      <c r="E1956" t="s">
        <v>1963</v>
      </c>
      <c r="F1956">
        <f>HYPERLINK("http://pbs.twimg.com/media/DcFpt-GUwAAhKTS.jpg", "http://pbs.twimg.com/media/DcFpt-GUwAAhKTS.jpg")</f>
        <v/>
      </c>
      <c r="G1956" t="s"/>
      <c r="H1956" t="s"/>
      <c r="I1956" t="s"/>
      <c r="J1956" t="n">
        <v>-0.6369</v>
      </c>
      <c r="K1956" t="n">
        <v>0.276</v>
      </c>
      <c r="L1956" t="n">
        <v>0.724</v>
      </c>
      <c r="M1956" t="n">
        <v>0</v>
      </c>
    </row>
    <row r="1957" spans="1:13">
      <c r="A1957" s="1">
        <f>HYPERLINK("http://www.twitter.com/NathanBLawrence/status/991189496803700738", "991189496803700738")</f>
        <v/>
      </c>
      <c r="B1957" s="2" t="n">
        <v>43221.23340277778</v>
      </c>
      <c r="C1957" t="n">
        <v>3</v>
      </c>
      <c r="D1957" t="n">
        <v>1</v>
      </c>
      <c r="E1957" t="s">
        <v>1964</v>
      </c>
      <c r="F1957">
        <f>HYPERLINK("http://pbs.twimg.com/media/DcFpcMUVAAA1c9I.jpg", "http://pbs.twimg.com/media/DcFpcMUVAAA1c9I.jpg")</f>
        <v/>
      </c>
      <c r="G1957" t="s"/>
      <c r="H1957" t="s"/>
      <c r="I1957" t="s"/>
      <c r="J1957" t="n">
        <v>-0.6369</v>
      </c>
      <c r="K1957" t="n">
        <v>0.276</v>
      </c>
      <c r="L1957" t="n">
        <v>0.724</v>
      </c>
      <c r="M1957" t="n">
        <v>0</v>
      </c>
    </row>
    <row r="1958" spans="1:13">
      <c r="A1958" s="1">
        <f>HYPERLINK("http://www.twitter.com/NathanBLawrence/status/991187717894500352", "991187717894500352")</f>
        <v/>
      </c>
      <c r="B1958" s="2" t="n">
        <v>43221.22848379629</v>
      </c>
      <c r="C1958" t="n">
        <v>3</v>
      </c>
      <c r="D1958" t="n">
        <v>0</v>
      </c>
      <c r="E1958" t="s">
        <v>1965</v>
      </c>
      <c r="F1958">
        <f>HYPERLINK("http://pbs.twimg.com/media/DcFnNtUU0AA-pMh.jpg", "http://pbs.twimg.com/media/DcFnNtUU0AA-pMh.jpg")</f>
        <v/>
      </c>
      <c r="G1958" t="s"/>
      <c r="H1958" t="s"/>
      <c r="I1958" t="s"/>
      <c r="J1958" t="n">
        <v>-0.7941</v>
      </c>
      <c r="K1958" t="n">
        <v>0.206</v>
      </c>
      <c r="L1958" t="n">
        <v>0.794</v>
      </c>
      <c r="M1958" t="n">
        <v>0</v>
      </c>
    </row>
    <row r="1959" spans="1:13">
      <c r="A1959" s="1">
        <f>HYPERLINK("http://www.twitter.com/NathanBLawrence/status/991185997370032128", "991185997370032128")</f>
        <v/>
      </c>
      <c r="B1959" s="2" t="n">
        <v>43221.22373842593</v>
      </c>
      <c r="C1959" t="n">
        <v>4</v>
      </c>
      <c r="D1959" t="n">
        <v>1</v>
      </c>
      <c r="E1959" t="s">
        <v>1966</v>
      </c>
      <c r="F1959" t="s"/>
      <c r="G1959" t="s"/>
      <c r="H1959" t="s"/>
      <c r="I1959" t="s"/>
      <c r="J1959" t="n">
        <v>0</v>
      </c>
      <c r="K1959" t="n">
        <v>0</v>
      </c>
      <c r="L1959" t="n">
        <v>1</v>
      </c>
      <c r="M1959" t="n">
        <v>0</v>
      </c>
    </row>
    <row r="1960" spans="1:13">
      <c r="A1960" s="1">
        <f>HYPERLINK("http://www.twitter.com/NathanBLawrence/status/991185746227675136", "991185746227675136")</f>
        <v/>
      </c>
      <c r="B1960" s="2" t="n">
        <v>43221.22304398148</v>
      </c>
      <c r="C1960" t="n">
        <v>4</v>
      </c>
      <c r="D1960" t="n">
        <v>0</v>
      </c>
      <c r="E1960" t="s">
        <v>1967</v>
      </c>
      <c r="F1960" t="s"/>
      <c r="G1960" t="s"/>
      <c r="H1960" t="s"/>
      <c r="I1960" t="s"/>
      <c r="J1960" t="n">
        <v>-0.4215</v>
      </c>
      <c r="K1960" t="n">
        <v>0.078</v>
      </c>
      <c r="L1960" t="n">
        <v>0.922</v>
      </c>
      <c r="M1960" t="n">
        <v>0</v>
      </c>
    </row>
    <row r="1961" spans="1:13">
      <c r="A1961" s="1">
        <f>HYPERLINK("http://www.twitter.com/NathanBLawrence/status/991182686029987840", "991182686029987840")</f>
        <v/>
      </c>
      <c r="B1961" s="2" t="n">
        <v>43221.21460648148</v>
      </c>
      <c r="C1961" t="n">
        <v>0</v>
      </c>
      <c r="D1961" t="n">
        <v>0</v>
      </c>
      <c r="E1961" t="s">
        <v>1968</v>
      </c>
      <c r="F1961" t="s"/>
      <c r="G1961" t="s"/>
      <c r="H1961" t="s"/>
      <c r="I1961" t="s"/>
      <c r="J1961" t="n">
        <v>0</v>
      </c>
      <c r="K1961" t="n">
        <v>0</v>
      </c>
      <c r="L1961" t="n">
        <v>1</v>
      </c>
      <c r="M1961" t="n">
        <v>0</v>
      </c>
    </row>
    <row r="1962" spans="1:13">
      <c r="A1962" s="1">
        <f>HYPERLINK("http://www.twitter.com/NathanBLawrence/status/991182487001812994", "991182487001812994")</f>
        <v/>
      </c>
      <c r="B1962" s="2" t="n">
        <v>43221.21405092593</v>
      </c>
      <c r="C1962" t="n">
        <v>0</v>
      </c>
      <c r="D1962" t="n">
        <v>707</v>
      </c>
      <c r="E1962" t="s">
        <v>1969</v>
      </c>
      <c r="F1962">
        <f>HYPERLINK("http://pbs.twimg.com/media/Db9Gc5hX0AAV3gk.jpg", "http://pbs.twimg.com/media/Db9Gc5hX0AAV3gk.jpg")</f>
        <v/>
      </c>
      <c r="G1962">
        <f>HYPERLINK("http://pbs.twimg.com/media/Db9Gc5qXkAAwShZ.jpg", "http://pbs.twimg.com/media/Db9Gc5qXkAAwShZ.jpg")</f>
        <v/>
      </c>
      <c r="H1962" t="s"/>
      <c r="I1962" t="s"/>
      <c r="J1962" t="n">
        <v>0</v>
      </c>
      <c r="K1962" t="n">
        <v>0</v>
      </c>
      <c r="L1962" t="n">
        <v>1</v>
      </c>
      <c r="M1962" t="n">
        <v>0</v>
      </c>
    </row>
    <row r="1963" spans="1:13">
      <c r="A1963" s="1">
        <f>HYPERLINK("http://www.twitter.com/NathanBLawrence/status/991181397455851521", "991181397455851521")</f>
        <v/>
      </c>
      <c r="B1963" s="2" t="n">
        <v>43221.21105324074</v>
      </c>
      <c r="C1963" t="n">
        <v>4</v>
      </c>
      <c r="D1963" t="n">
        <v>1</v>
      </c>
      <c r="E1963" t="s">
        <v>1970</v>
      </c>
      <c r="F1963" t="s"/>
      <c r="G1963" t="s"/>
      <c r="H1963" t="s"/>
      <c r="I1963" t="s"/>
      <c r="J1963" t="n">
        <v>0</v>
      </c>
      <c r="K1963" t="n">
        <v>0</v>
      </c>
      <c r="L1963" t="n">
        <v>1</v>
      </c>
      <c r="M1963" t="n">
        <v>0</v>
      </c>
    </row>
    <row r="1964" spans="1:13">
      <c r="A1964" s="1">
        <f>HYPERLINK("http://www.twitter.com/NathanBLawrence/status/991175833241894912", "991175833241894912")</f>
        <v/>
      </c>
      <c r="B1964" s="2" t="n">
        <v>43221.19569444445</v>
      </c>
      <c r="C1964" t="n">
        <v>0</v>
      </c>
      <c r="D1964" t="n">
        <v>828</v>
      </c>
      <c r="E1964" t="s">
        <v>1971</v>
      </c>
      <c r="F1964" t="s"/>
      <c r="G1964" t="s"/>
      <c r="H1964" t="s"/>
      <c r="I1964" t="s"/>
      <c r="J1964" t="n">
        <v>-0.4939</v>
      </c>
      <c r="K1964" t="n">
        <v>0.144</v>
      </c>
      <c r="L1964" t="n">
        <v>0.856</v>
      </c>
      <c r="M1964" t="n">
        <v>0</v>
      </c>
    </row>
    <row r="1965" spans="1:13">
      <c r="A1965" s="1">
        <f>HYPERLINK("http://www.twitter.com/NathanBLawrence/status/991175775998038016", "991175775998038016")</f>
        <v/>
      </c>
      <c r="B1965" s="2" t="n">
        <v>43221.19553240741</v>
      </c>
      <c r="C1965" t="n">
        <v>0</v>
      </c>
      <c r="D1965" t="n">
        <v>460</v>
      </c>
      <c r="E1965" t="s">
        <v>1972</v>
      </c>
      <c r="F1965">
        <f>HYPERLINK("http://pbs.twimg.com/media/DcFR2HcU0AEN3E0.jpg", "http://pbs.twimg.com/media/DcFR2HcU0AEN3E0.jpg")</f>
        <v/>
      </c>
      <c r="G1965" t="s"/>
      <c r="H1965" t="s"/>
      <c r="I1965" t="s"/>
      <c r="J1965" t="n">
        <v>-0.296</v>
      </c>
      <c r="K1965" t="n">
        <v>0.355</v>
      </c>
      <c r="L1965" t="n">
        <v>0.645</v>
      </c>
      <c r="M1965" t="n">
        <v>0</v>
      </c>
    </row>
    <row r="1966" spans="1:13">
      <c r="A1966" s="1">
        <f>HYPERLINK("http://www.twitter.com/NathanBLawrence/status/991175623983808512", "991175623983808512")</f>
        <v/>
      </c>
      <c r="B1966" s="2" t="n">
        <v>43221.19511574074</v>
      </c>
      <c r="C1966" t="n">
        <v>0</v>
      </c>
      <c r="D1966" t="n">
        <v>1571</v>
      </c>
      <c r="E1966" t="s">
        <v>1973</v>
      </c>
      <c r="F1966" t="s"/>
      <c r="G1966" t="s"/>
      <c r="H1966" t="s"/>
      <c r="I1966" t="s"/>
      <c r="J1966" t="n">
        <v>0.5266999999999999</v>
      </c>
      <c r="K1966" t="n">
        <v>0</v>
      </c>
      <c r="L1966" t="n">
        <v>0.805</v>
      </c>
      <c r="M1966" t="n">
        <v>0.195</v>
      </c>
    </row>
    <row r="1967" spans="1:13">
      <c r="A1967" s="1">
        <f>HYPERLINK("http://www.twitter.com/NathanBLawrence/status/991175385587961856", "991175385587961856")</f>
        <v/>
      </c>
      <c r="B1967" s="2" t="n">
        <v>43221.19445601852</v>
      </c>
      <c r="C1967" t="n">
        <v>0</v>
      </c>
      <c r="D1967" t="n">
        <v>9105</v>
      </c>
      <c r="E1967" t="s">
        <v>1974</v>
      </c>
      <c r="F1967" t="s"/>
      <c r="G1967" t="s"/>
      <c r="H1967" t="s"/>
      <c r="I1967" t="s"/>
      <c r="J1967" t="n">
        <v>0.4019</v>
      </c>
      <c r="K1967" t="n">
        <v>0</v>
      </c>
      <c r="L1967" t="n">
        <v>0.886</v>
      </c>
      <c r="M1967" t="n">
        <v>0.114</v>
      </c>
    </row>
    <row r="1968" spans="1:13">
      <c r="A1968" s="1">
        <f>HYPERLINK("http://www.twitter.com/NathanBLawrence/status/991175341099008000", "991175341099008000")</f>
        <v/>
      </c>
      <c r="B1968" s="2" t="n">
        <v>43221.19434027778</v>
      </c>
      <c r="C1968" t="n">
        <v>0</v>
      </c>
      <c r="D1968" t="n">
        <v>0</v>
      </c>
      <c r="E1968" t="s">
        <v>1975</v>
      </c>
      <c r="F1968" t="s"/>
      <c r="G1968" t="s"/>
      <c r="H1968" t="s"/>
      <c r="I1968" t="s"/>
      <c r="J1968" t="n">
        <v>0</v>
      </c>
      <c r="K1968" t="n">
        <v>0</v>
      </c>
      <c r="L1968" t="n">
        <v>1</v>
      </c>
      <c r="M1968" t="n">
        <v>0</v>
      </c>
    </row>
    <row r="1969" spans="1:13">
      <c r="A1969" s="1">
        <f>HYPERLINK("http://www.twitter.com/NathanBLawrence/status/991174857655140352", "991174857655140352")</f>
        <v/>
      </c>
      <c r="B1969" s="2" t="n">
        <v>43221.19299768518</v>
      </c>
      <c r="C1969" t="n">
        <v>27</v>
      </c>
      <c r="D1969" t="n">
        <v>20</v>
      </c>
      <c r="E1969" t="s">
        <v>1976</v>
      </c>
      <c r="F1969" t="s"/>
      <c r="G1969" t="s"/>
      <c r="H1969" t="s"/>
      <c r="I1969" t="s"/>
      <c r="J1969" t="n">
        <v>-0.296</v>
      </c>
      <c r="K1969" t="n">
        <v>0.075</v>
      </c>
      <c r="L1969" t="n">
        <v>0.925</v>
      </c>
      <c r="M1969" t="n">
        <v>0</v>
      </c>
    </row>
    <row r="1970" spans="1:13">
      <c r="A1970" s="1">
        <f>HYPERLINK("http://www.twitter.com/NathanBLawrence/status/991173324708265984", "991173324708265984")</f>
        <v/>
      </c>
      <c r="B1970" s="2" t="n">
        <v>43221.18877314815</v>
      </c>
      <c r="C1970" t="n">
        <v>0</v>
      </c>
      <c r="D1970" t="n">
        <v>557</v>
      </c>
      <c r="E1970" t="s">
        <v>1977</v>
      </c>
      <c r="F1970" t="s"/>
      <c r="G1970" t="s"/>
      <c r="H1970" t="s"/>
      <c r="I1970" t="s"/>
      <c r="J1970" t="n">
        <v>0.3254</v>
      </c>
      <c r="K1970" t="n">
        <v>0</v>
      </c>
      <c r="L1970" t="n">
        <v>0.891</v>
      </c>
      <c r="M1970" t="n">
        <v>0.109</v>
      </c>
    </row>
    <row r="1971" spans="1:13">
      <c r="A1971" s="1">
        <f>HYPERLINK("http://www.twitter.com/NathanBLawrence/status/991172345237725185", "991172345237725185")</f>
        <v/>
      </c>
      <c r="B1971" s="2" t="n">
        <v>43221.18606481481</v>
      </c>
      <c r="C1971" t="n">
        <v>0</v>
      </c>
      <c r="D1971" t="n">
        <v>2471</v>
      </c>
      <c r="E1971" t="s">
        <v>1978</v>
      </c>
      <c r="F1971">
        <f>HYPERLINK("http://pbs.twimg.com/media/DcFHmMoX4AEvIvx.jpg", "http://pbs.twimg.com/media/DcFHmMoX4AEvIvx.jpg")</f>
        <v/>
      </c>
      <c r="G1971" t="s"/>
      <c r="H1971" t="s"/>
      <c r="I1971" t="s"/>
      <c r="J1971" t="n">
        <v>0.4515</v>
      </c>
      <c r="K1971" t="n">
        <v>0</v>
      </c>
      <c r="L1971" t="n">
        <v>0.788</v>
      </c>
      <c r="M1971" t="n">
        <v>0.212</v>
      </c>
    </row>
    <row r="1972" spans="1:13">
      <c r="A1972" s="1">
        <f>HYPERLINK("http://www.twitter.com/NathanBLawrence/status/991172025975652354", "991172025975652354")</f>
        <v/>
      </c>
      <c r="B1972" s="2" t="n">
        <v>43221.18518518518</v>
      </c>
      <c r="C1972" t="n">
        <v>0</v>
      </c>
      <c r="D1972" t="n">
        <v>3786</v>
      </c>
      <c r="E1972" t="s">
        <v>1979</v>
      </c>
      <c r="F1972" t="s"/>
      <c r="G1972" t="s"/>
      <c r="H1972" t="s"/>
      <c r="I1972" t="s"/>
      <c r="J1972" t="n">
        <v>-0.7506</v>
      </c>
      <c r="K1972" t="n">
        <v>0.28</v>
      </c>
      <c r="L1972" t="n">
        <v>0.72</v>
      </c>
      <c r="M1972" t="n">
        <v>0</v>
      </c>
    </row>
    <row r="1973" spans="1:13">
      <c r="A1973" s="1">
        <f>HYPERLINK("http://www.twitter.com/NathanBLawrence/status/991171919842951169", "991171919842951169")</f>
        <v/>
      </c>
      <c r="B1973" s="2" t="n">
        <v>43221.18489583334</v>
      </c>
      <c r="C1973" t="n">
        <v>0</v>
      </c>
      <c r="D1973" t="n">
        <v>11625</v>
      </c>
      <c r="E1973" t="s">
        <v>1980</v>
      </c>
      <c r="F1973" t="s"/>
      <c r="G1973" t="s"/>
      <c r="H1973" t="s"/>
      <c r="I1973" t="s"/>
      <c r="J1973" t="n">
        <v>-0.2263</v>
      </c>
      <c r="K1973" t="n">
        <v>0.221</v>
      </c>
      <c r="L1973" t="n">
        <v>0.632</v>
      </c>
      <c r="M1973" t="n">
        <v>0.146</v>
      </c>
    </row>
    <row r="1974" spans="1:13">
      <c r="A1974" s="1">
        <f>HYPERLINK("http://www.twitter.com/NathanBLawrence/status/991169428107677697", "991169428107677697")</f>
        <v/>
      </c>
      <c r="B1974" s="2" t="n">
        <v>43221.17802083334</v>
      </c>
      <c r="C1974" t="n">
        <v>0</v>
      </c>
      <c r="D1974" t="n">
        <v>18877</v>
      </c>
      <c r="E1974" t="s">
        <v>1981</v>
      </c>
      <c r="F1974">
        <f>HYPERLINK("https://video.twimg.com/ext_tw_video/991010703287840768/pu/vid/1280x720/V7ZYOBTogrK75MII.mp4?tag=3", "https://video.twimg.com/ext_tw_video/991010703287840768/pu/vid/1280x720/V7ZYOBTogrK75MII.mp4?tag=3")</f>
        <v/>
      </c>
      <c r="G1974" t="s"/>
      <c r="H1974" t="s"/>
      <c r="I1974" t="s"/>
      <c r="J1974" t="n">
        <v>-0.5106000000000001</v>
      </c>
      <c r="K1974" t="n">
        <v>0.136</v>
      </c>
      <c r="L1974" t="n">
        <v>0.864</v>
      </c>
      <c r="M1974" t="n">
        <v>0</v>
      </c>
    </row>
    <row r="1975" spans="1:13">
      <c r="A1975" s="1">
        <f>HYPERLINK("http://www.twitter.com/NathanBLawrence/status/991100309186347008", "991100309186347008")</f>
        <v/>
      </c>
      <c r="B1975" s="2" t="n">
        <v>43220.98729166666</v>
      </c>
      <c r="C1975" t="n">
        <v>0</v>
      </c>
      <c r="D1975" t="n">
        <v>3</v>
      </c>
      <c r="E1975" t="s">
        <v>1982</v>
      </c>
      <c r="F1975">
        <f>HYPERLINK("http://pbs.twimg.com/media/DcBdud6X4AAPc1w.jpg", "http://pbs.twimg.com/media/DcBdud6X4AAPc1w.jpg")</f>
        <v/>
      </c>
      <c r="G1975" t="s"/>
      <c r="H1975" t="s"/>
      <c r="I1975" t="s"/>
      <c r="J1975" t="n">
        <v>-0.3612</v>
      </c>
      <c r="K1975" t="n">
        <v>0.122</v>
      </c>
      <c r="L1975" t="n">
        <v>0.878</v>
      </c>
      <c r="M1975" t="n">
        <v>0</v>
      </c>
    </row>
    <row r="1976" spans="1:13">
      <c r="A1976" s="1">
        <f>HYPERLINK("http://www.twitter.com/NathanBLawrence/status/991091701887389696", "991091701887389696")</f>
        <v/>
      </c>
      <c r="B1976" s="2" t="n">
        <v>43220.96353009259</v>
      </c>
      <c r="C1976" t="n">
        <v>0</v>
      </c>
      <c r="D1976" t="n">
        <v>0</v>
      </c>
      <c r="E1976" t="s">
        <v>1983</v>
      </c>
      <c r="F1976">
        <f>HYPERLINK("http://pbs.twimg.com/media/DcEQFUrU8AE8VBg.jpg", "http://pbs.twimg.com/media/DcEQFUrU8AE8VBg.jpg")</f>
        <v/>
      </c>
      <c r="G1976" t="s"/>
      <c r="H1976" t="s"/>
      <c r="I1976" t="s"/>
      <c r="J1976" t="n">
        <v>0.3612</v>
      </c>
      <c r="K1976" t="n">
        <v>0</v>
      </c>
      <c r="L1976" t="n">
        <v>0.737</v>
      </c>
      <c r="M1976" t="n">
        <v>0.263</v>
      </c>
    </row>
    <row r="1977" spans="1:13">
      <c r="A1977" s="1">
        <f>HYPERLINK("http://www.twitter.com/NathanBLawrence/status/991090319708979200", "991090319708979200")</f>
        <v/>
      </c>
      <c r="B1977" s="2" t="n">
        <v>43220.95972222222</v>
      </c>
      <c r="C1977" t="n">
        <v>2</v>
      </c>
      <c r="D1977" t="n">
        <v>1</v>
      </c>
      <c r="E1977" t="s">
        <v>1984</v>
      </c>
      <c r="F1977" t="s"/>
      <c r="G1977" t="s"/>
      <c r="H1977" t="s"/>
      <c r="I1977" t="s"/>
      <c r="J1977" t="n">
        <v>-0.9538</v>
      </c>
      <c r="K1977" t="n">
        <v>0.493</v>
      </c>
      <c r="L1977" t="n">
        <v>0.395</v>
      </c>
      <c r="M1977" t="n">
        <v>0.112</v>
      </c>
    </row>
    <row r="1978" spans="1:13">
      <c r="A1978" s="1">
        <f>HYPERLINK("http://www.twitter.com/NathanBLawrence/status/991088950277128192", "991088950277128192")</f>
        <v/>
      </c>
      <c r="B1978" s="2" t="n">
        <v>43220.9559375</v>
      </c>
      <c r="C1978" t="n">
        <v>0</v>
      </c>
      <c r="D1978" t="n">
        <v>0</v>
      </c>
      <c r="E1978" t="s">
        <v>1985</v>
      </c>
      <c r="F1978" t="s"/>
      <c r="G1978" t="s"/>
      <c r="H1978" t="s"/>
      <c r="I1978" t="s"/>
      <c r="J1978" t="n">
        <v>0.7866</v>
      </c>
      <c r="K1978" t="n">
        <v>0.117</v>
      </c>
      <c r="L1978" t="n">
        <v>0.629</v>
      </c>
      <c r="M1978" t="n">
        <v>0.254</v>
      </c>
    </row>
    <row r="1979" spans="1:13">
      <c r="A1979" s="1">
        <f>HYPERLINK("http://www.twitter.com/NathanBLawrence/status/991049658871918592", "991049658871918592")</f>
        <v/>
      </c>
      <c r="B1979" s="2" t="n">
        <v>43220.84752314815</v>
      </c>
      <c r="C1979" t="n">
        <v>1</v>
      </c>
      <c r="D1979" t="n">
        <v>0</v>
      </c>
      <c r="E1979" t="s">
        <v>1986</v>
      </c>
      <c r="F1979">
        <f>HYPERLINK("http://pbs.twimg.com/media/DcDoJB3UQAAPXoE.jpg", "http://pbs.twimg.com/media/DcDoJB3UQAAPXoE.jpg")</f>
        <v/>
      </c>
      <c r="G1979" t="s"/>
      <c r="H1979" t="s"/>
      <c r="I1979" t="s"/>
      <c r="J1979" t="n">
        <v>-0.9538</v>
      </c>
      <c r="K1979" t="n">
        <v>0.503</v>
      </c>
      <c r="L1979" t="n">
        <v>0.382</v>
      </c>
      <c r="M1979" t="n">
        <v>0.115</v>
      </c>
    </row>
    <row r="1980" spans="1:13">
      <c r="A1980" s="1">
        <f>HYPERLINK("http://www.twitter.com/NathanBLawrence/status/991043813710819328", "991043813710819328")</f>
        <v/>
      </c>
      <c r="B1980" s="2" t="n">
        <v>43220.83138888889</v>
      </c>
      <c r="C1980" t="n">
        <v>0</v>
      </c>
      <c r="D1980" t="n">
        <v>2720</v>
      </c>
      <c r="E1980" t="s">
        <v>1987</v>
      </c>
      <c r="F1980" t="s"/>
      <c r="G1980" t="s"/>
      <c r="H1980" t="s"/>
      <c r="I1980" t="s"/>
      <c r="J1980" t="n">
        <v>0.5859</v>
      </c>
      <c r="K1980" t="n">
        <v>0.104</v>
      </c>
      <c r="L1980" t="n">
        <v>0.66</v>
      </c>
      <c r="M1980" t="n">
        <v>0.236</v>
      </c>
    </row>
    <row r="1981" spans="1:13">
      <c r="A1981" s="1">
        <f>HYPERLINK("http://www.twitter.com/NathanBLawrence/status/991043222611738624", "991043222611738624")</f>
        <v/>
      </c>
      <c r="B1981" s="2" t="n">
        <v>43220.82975694445</v>
      </c>
      <c r="C1981" t="n">
        <v>0</v>
      </c>
      <c r="D1981" t="n">
        <v>539</v>
      </c>
      <c r="E1981" t="s">
        <v>1988</v>
      </c>
      <c r="F1981">
        <f>HYPERLINK("http://pbs.twimg.com/media/DcDgNIrW4AUY-Mi.jpg", "http://pbs.twimg.com/media/DcDgNIrW4AUY-Mi.jpg")</f>
        <v/>
      </c>
      <c r="G1981" t="s"/>
      <c r="H1981" t="s"/>
      <c r="I1981" t="s"/>
      <c r="J1981" t="n">
        <v>-0.2263</v>
      </c>
      <c r="K1981" t="n">
        <v>0.102</v>
      </c>
      <c r="L1981" t="n">
        <v>0.837</v>
      </c>
      <c r="M1981" t="n">
        <v>0.06</v>
      </c>
    </row>
    <row r="1982" spans="1:13">
      <c r="A1982" s="1">
        <f>HYPERLINK("http://www.twitter.com/NathanBLawrence/status/991037284035190784", "991037284035190784")</f>
        <v/>
      </c>
      <c r="B1982" s="2" t="n">
        <v>43220.81336805555</v>
      </c>
      <c r="C1982" t="n">
        <v>0</v>
      </c>
      <c r="D1982" t="n">
        <v>873</v>
      </c>
      <c r="E1982" t="s">
        <v>1989</v>
      </c>
      <c r="F1982" t="s"/>
      <c r="G1982" t="s"/>
      <c r="H1982" t="s"/>
      <c r="I1982" t="s"/>
      <c r="J1982" t="n">
        <v>-0.34</v>
      </c>
      <c r="K1982" t="n">
        <v>0.118</v>
      </c>
      <c r="L1982" t="n">
        <v>0.882</v>
      </c>
      <c r="M1982" t="n">
        <v>0</v>
      </c>
    </row>
    <row r="1983" spans="1:13">
      <c r="A1983" s="1">
        <f>HYPERLINK("http://www.twitter.com/NathanBLawrence/status/991036332309860352", "991036332309860352")</f>
        <v/>
      </c>
      <c r="B1983" s="2" t="n">
        <v>43220.81074074074</v>
      </c>
      <c r="C1983" t="n">
        <v>1</v>
      </c>
      <c r="D1983" t="n">
        <v>1</v>
      </c>
      <c r="E1983" t="s">
        <v>1990</v>
      </c>
      <c r="F1983" t="s"/>
      <c r="G1983" t="s"/>
      <c r="H1983" t="s"/>
      <c r="I1983" t="s"/>
      <c r="J1983" t="n">
        <v>0</v>
      </c>
      <c r="K1983" t="n">
        <v>0</v>
      </c>
      <c r="L1983" t="n">
        <v>1</v>
      </c>
      <c r="M1983" t="n">
        <v>0</v>
      </c>
    </row>
    <row r="1984" spans="1:13">
      <c r="A1984" s="1">
        <f>HYPERLINK("http://www.twitter.com/NathanBLawrence/status/991032566437199872", "991032566437199872")</f>
        <v/>
      </c>
      <c r="B1984" s="2" t="n">
        <v>43220.80034722222</v>
      </c>
      <c r="C1984" t="n">
        <v>0</v>
      </c>
      <c r="D1984" t="n">
        <v>1460</v>
      </c>
      <c r="E1984" t="s">
        <v>1991</v>
      </c>
      <c r="F1984" t="s"/>
      <c r="G1984" t="s"/>
      <c r="H1984" t="s"/>
      <c r="I1984" t="s"/>
      <c r="J1984" t="n">
        <v>0</v>
      </c>
      <c r="K1984" t="n">
        <v>0</v>
      </c>
      <c r="L1984" t="n">
        <v>1</v>
      </c>
      <c r="M1984" t="n">
        <v>0</v>
      </c>
    </row>
    <row r="1985" spans="1:13">
      <c r="A1985" s="1">
        <f>HYPERLINK("http://www.twitter.com/NathanBLawrence/status/991032164945879042", "991032164945879042")</f>
        <v/>
      </c>
      <c r="B1985" s="2" t="n">
        <v>43220.79924768519</v>
      </c>
      <c r="C1985" t="n">
        <v>0</v>
      </c>
      <c r="D1985" t="n">
        <v>1584</v>
      </c>
      <c r="E1985" t="s">
        <v>1992</v>
      </c>
      <c r="F1985">
        <f>HYPERLINK("http://pbs.twimg.com/media/DcB9mG2VQAImVoB.jpg", "http://pbs.twimg.com/media/DcB9mG2VQAImVoB.jpg")</f>
        <v/>
      </c>
      <c r="G1985" t="s"/>
      <c r="H1985" t="s"/>
      <c r="I1985" t="s"/>
      <c r="J1985" t="n">
        <v>-0.8313</v>
      </c>
      <c r="K1985" t="n">
        <v>0.314</v>
      </c>
      <c r="L1985" t="n">
        <v>0.6860000000000001</v>
      </c>
      <c r="M1985" t="n">
        <v>0</v>
      </c>
    </row>
    <row r="1986" spans="1:13">
      <c r="A1986" s="1">
        <f>HYPERLINK("http://www.twitter.com/NathanBLawrence/status/991031688795906048", "991031688795906048")</f>
        <v/>
      </c>
      <c r="B1986" s="2" t="n">
        <v>43220.79792824074</v>
      </c>
      <c r="C1986" t="n">
        <v>0</v>
      </c>
      <c r="D1986" t="n">
        <v>698</v>
      </c>
      <c r="E1986" t="s">
        <v>1993</v>
      </c>
      <c r="F1986">
        <f>HYPERLINK("http://pbs.twimg.com/media/DcCCb1wUQAE5u2I.jpg", "http://pbs.twimg.com/media/DcCCb1wUQAE5u2I.jpg")</f>
        <v/>
      </c>
      <c r="G1986" t="s"/>
      <c r="H1986" t="s"/>
      <c r="I1986" t="s"/>
      <c r="J1986" t="n">
        <v>0.6533</v>
      </c>
      <c r="K1986" t="n">
        <v>0.106</v>
      </c>
      <c r="L1986" t="n">
        <v>0.579</v>
      </c>
      <c r="M1986" t="n">
        <v>0.315</v>
      </c>
    </row>
    <row r="1987" spans="1:13">
      <c r="A1987" s="1">
        <f>HYPERLINK("http://www.twitter.com/NathanBLawrence/status/991031451754807296", "991031451754807296")</f>
        <v/>
      </c>
      <c r="B1987" s="2" t="n">
        <v>43220.79728009259</v>
      </c>
      <c r="C1987" t="n">
        <v>0</v>
      </c>
      <c r="D1987" t="n">
        <v>1799</v>
      </c>
      <c r="E1987" t="s">
        <v>1994</v>
      </c>
      <c r="F1987">
        <f>HYPERLINK("https://video.twimg.com/amplify_video/990919111495446528/vid/1280x720/fSSRXexYiqTfHbP8.mp4?tag=2", "https://video.twimg.com/amplify_video/990919111495446528/vid/1280x720/fSSRXexYiqTfHbP8.mp4?tag=2")</f>
        <v/>
      </c>
      <c r="G1987" t="s"/>
      <c r="H1987" t="s"/>
      <c r="I1987" t="s"/>
      <c r="J1987" t="n">
        <v>0.7501</v>
      </c>
      <c r="K1987" t="n">
        <v>0</v>
      </c>
      <c r="L1987" t="n">
        <v>0.6870000000000001</v>
      </c>
      <c r="M1987" t="n">
        <v>0.313</v>
      </c>
    </row>
    <row r="1988" spans="1:13">
      <c r="A1988" s="1">
        <f>HYPERLINK("http://www.twitter.com/NathanBLawrence/status/991029884506988544", "991029884506988544")</f>
        <v/>
      </c>
      <c r="B1988" s="2" t="n">
        <v>43220.79295138889</v>
      </c>
      <c r="C1988" t="n">
        <v>0</v>
      </c>
      <c r="D1988" t="n">
        <v>53</v>
      </c>
      <c r="E1988" t="s">
        <v>1995</v>
      </c>
      <c r="F1988" t="s"/>
      <c r="G1988" t="s"/>
      <c r="H1988" t="s"/>
      <c r="I1988" t="s"/>
      <c r="J1988" t="n">
        <v>-0.5994</v>
      </c>
      <c r="K1988" t="n">
        <v>0.157</v>
      </c>
      <c r="L1988" t="n">
        <v>0.843</v>
      </c>
      <c r="M1988" t="n">
        <v>0</v>
      </c>
    </row>
    <row r="1989" spans="1:13">
      <c r="A1989" s="1">
        <f>HYPERLINK("http://www.twitter.com/NathanBLawrence/status/991028939542880263", "991028939542880263")</f>
        <v/>
      </c>
      <c r="B1989" s="2" t="n">
        <v>43220.79034722222</v>
      </c>
      <c r="C1989" t="n">
        <v>0</v>
      </c>
      <c r="D1989" t="n">
        <v>1</v>
      </c>
      <c r="E1989" t="s">
        <v>1996</v>
      </c>
      <c r="F1989" t="s"/>
      <c r="G1989" t="s"/>
      <c r="H1989" t="s"/>
      <c r="I1989" t="s"/>
      <c r="J1989" t="n">
        <v>0</v>
      </c>
      <c r="K1989" t="n">
        <v>0</v>
      </c>
      <c r="L1989" t="n">
        <v>1</v>
      </c>
      <c r="M1989" t="n">
        <v>0</v>
      </c>
    </row>
    <row r="1990" spans="1:13">
      <c r="A1990" s="1">
        <f>HYPERLINK("http://www.twitter.com/NathanBLawrence/status/991028466563801089", "991028466563801089")</f>
        <v/>
      </c>
      <c r="B1990" s="2" t="n">
        <v>43220.78903935185</v>
      </c>
      <c r="C1990" t="n">
        <v>0</v>
      </c>
      <c r="D1990" t="n">
        <v>1142</v>
      </c>
      <c r="E1990" t="s">
        <v>1997</v>
      </c>
      <c r="F1990" t="s"/>
      <c r="G1990" t="s"/>
      <c r="H1990" t="s"/>
      <c r="I1990" t="s"/>
      <c r="J1990" t="n">
        <v>0</v>
      </c>
      <c r="K1990" t="n">
        <v>0</v>
      </c>
      <c r="L1990" t="n">
        <v>1</v>
      </c>
      <c r="M1990" t="n">
        <v>0</v>
      </c>
    </row>
    <row r="1991" spans="1:13">
      <c r="A1991" s="1">
        <f>HYPERLINK("http://www.twitter.com/NathanBLawrence/status/991028342265593856", "991028342265593856")</f>
        <v/>
      </c>
      <c r="B1991" s="2" t="n">
        <v>43220.78869212963</v>
      </c>
      <c r="C1991" t="n">
        <v>0</v>
      </c>
      <c r="D1991" t="n">
        <v>524</v>
      </c>
      <c r="E1991" t="s">
        <v>1998</v>
      </c>
      <c r="F1991" t="s"/>
      <c r="G1991" t="s"/>
      <c r="H1991" t="s"/>
      <c r="I1991" t="s"/>
      <c r="J1991" t="n">
        <v>0.2732</v>
      </c>
      <c r="K1991" t="n">
        <v>0</v>
      </c>
      <c r="L1991" t="n">
        <v>0.8110000000000001</v>
      </c>
      <c r="M1991" t="n">
        <v>0.189</v>
      </c>
    </row>
    <row r="1992" spans="1:13">
      <c r="A1992" s="1">
        <f>HYPERLINK("http://www.twitter.com/NathanBLawrence/status/991028271843237893", "991028271843237893")</f>
        <v/>
      </c>
      <c r="B1992" s="2" t="n">
        <v>43220.78850694445</v>
      </c>
      <c r="C1992" t="n">
        <v>0</v>
      </c>
      <c r="D1992" t="n">
        <v>3207</v>
      </c>
      <c r="E1992" t="s">
        <v>1999</v>
      </c>
      <c r="F1992">
        <f>HYPERLINK("http://pbs.twimg.com/media/DcBww0hUwAEeZMV.jpg", "http://pbs.twimg.com/media/DcBww0hUwAEeZMV.jpg")</f>
        <v/>
      </c>
      <c r="G1992">
        <f>HYPERLINK("http://pbs.twimg.com/media/DcBww0hU0AA2JMn.jpg", "http://pbs.twimg.com/media/DcBww0hU0AA2JMn.jpg")</f>
        <v/>
      </c>
      <c r="H1992" t="s"/>
      <c r="I1992" t="s"/>
      <c r="J1992" t="n">
        <v>0.8679</v>
      </c>
      <c r="K1992" t="n">
        <v>0</v>
      </c>
      <c r="L1992" t="n">
        <v>0.695</v>
      </c>
      <c r="M1992" t="n">
        <v>0.305</v>
      </c>
    </row>
    <row r="1993" spans="1:13">
      <c r="A1993" s="1">
        <f>HYPERLINK("http://www.twitter.com/NathanBLawrence/status/991028185977438209", "991028185977438209")</f>
        <v/>
      </c>
      <c r="B1993" s="2" t="n">
        <v>43220.78826388889</v>
      </c>
      <c r="C1993" t="n">
        <v>0</v>
      </c>
      <c r="D1993" t="n">
        <v>1498</v>
      </c>
      <c r="E1993" t="s">
        <v>2000</v>
      </c>
      <c r="F1993" t="s"/>
      <c r="G1993" t="s"/>
      <c r="H1993" t="s"/>
      <c r="I1993" t="s"/>
      <c r="J1993" t="n">
        <v>0.2709</v>
      </c>
      <c r="K1993" t="n">
        <v>0.083</v>
      </c>
      <c r="L1993" t="n">
        <v>0.751</v>
      </c>
      <c r="M1993" t="n">
        <v>0.166</v>
      </c>
    </row>
    <row r="1994" spans="1:13">
      <c r="A1994" s="1">
        <f>HYPERLINK("http://www.twitter.com/NathanBLawrence/status/991024395987570688", "991024395987570688")</f>
        <v/>
      </c>
      <c r="B1994" s="2" t="n">
        <v>43220.7778125</v>
      </c>
      <c r="C1994" t="n">
        <v>24</v>
      </c>
      <c r="D1994" t="n">
        <v>12</v>
      </c>
      <c r="E1994" t="s">
        <v>2001</v>
      </c>
      <c r="F1994">
        <f>HYPERLINK("http://pbs.twimg.com/media/DcDS29lVQAAuBYR.jpg", "http://pbs.twimg.com/media/DcDS29lVQAAuBYR.jpg")</f>
        <v/>
      </c>
      <c r="G1994" t="s"/>
      <c r="H1994" t="s"/>
      <c r="I1994" t="s"/>
      <c r="J1994" t="n">
        <v>0.7506</v>
      </c>
      <c r="K1994" t="n">
        <v>0</v>
      </c>
      <c r="L1994" t="n">
        <v>0.714</v>
      </c>
      <c r="M1994" t="n">
        <v>0.286</v>
      </c>
    </row>
    <row r="1995" spans="1:13">
      <c r="A1995" s="1">
        <f>HYPERLINK("http://www.twitter.com/NathanBLawrence/status/991023564689031168", "991023564689031168")</f>
        <v/>
      </c>
      <c r="B1995" s="2" t="n">
        <v>43220.77550925926</v>
      </c>
      <c r="C1995" t="n">
        <v>0</v>
      </c>
      <c r="D1995" t="n">
        <v>2</v>
      </c>
      <c r="E1995" t="s">
        <v>2002</v>
      </c>
      <c r="F1995">
        <f>HYPERLINK("http://pbs.twimg.com/media/DcCvv1HVAAAJA9z.jpg", "http://pbs.twimg.com/media/DcCvv1HVAAAJA9z.jpg")</f>
        <v/>
      </c>
      <c r="G1995" t="s"/>
      <c r="H1995" t="s"/>
      <c r="I1995" t="s"/>
      <c r="J1995" t="n">
        <v>0</v>
      </c>
      <c r="K1995" t="n">
        <v>0</v>
      </c>
      <c r="L1995" t="n">
        <v>1</v>
      </c>
      <c r="M1995" t="n">
        <v>0</v>
      </c>
    </row>
    <row r="1996" spans="1:13">
      <c r="A1996" s="1">
        <f>HYPERLINK("http://www.twitter.com/NathanBLawrence/status/991023072185434112", "991023072185434112")</f>
        <v/>
      </c>
      <c r="B1996" s="2" t="n">
        <v>43220.77415509259</v>
      </c>
      <c r="C1996" t="n">
        <v>0</v>
      </c>
      <c r="D1996" t="n">
        <v>720</v>
      </c>
      <c r="E1996" t="s">
        <v>2003</v>
      </c>
      <c r="F1996">
        <f>HYPERLINK("http://pbs.twimg.com/media/DcCD6IOU8AAxFaL.jpg", "http://pbs.twimg.com/media/DcCD6IOU8AAxFaL.jpg")</f>
        <v/>
      </c>
      <c r="G1996" t="s"/>
      <c r="H1996" t="s"/>
      <c r="I1996" t="s"/>
      <c r="J1996" t="n">
        <v>0.7959000000000001</v>
      </c>
      <c r="K1996" t="n">
        <v>0</v>
      </c>
      <c r="L1996" t="n">
        <v>0.731</v>
      </c>
      <c r="M1996" t="n">
        <v>0.269</v>
      </c>
    </row>
    <row r="1997" spans="1:13">
      <c r="A1997" s="1">
        <f>HYPERLINK("http://www.twitter.com/NathanBLawrence/status/991022920502669312", "991022920502669312")</f>
        <v/>
      </c>
      <c r="B1997" s="2" t="n">
        <v>43220.77373842592</v>
      </c>
      <c r="C1997" t="n">
        <v>0</v>
      </c>
      <c r="D1997" t="n">
        <v>5935</v>
      </c>
      <c r="E1997" t="s">
        <v>2004</v>
      </c>
      <c r="F1997" t="s"/>
      <c r="G1997" t="s"/>
      <c r="H1997" t="s"/>
      <c r="I1997" t="s"/>
      <c r="J1997" t="n">
        <v>0.0772</v>
      </c>
      <c r="K1997" t="n">
        <v>0</v>
      </c>
      <c r="L1997" t="n">
        <v>0.947</v>
      </c>
      <c r="M1997" t="n">
        <v>0.053</v>
      </c>
    </row>
    <row r="1998" spans="1:13">
      <c r="A1998" s="1">
        <f>HYPERLINK("http://www.twitter.com/NathanBLawrence/status/991022807420039169", "991022807420039169")</f>
        <v/>
      </c>
      <c r="B1998" s="2" t="n">
        <v>43220.77342592592</v>
      </c>
      <c r="C1998" t="n">
        <v>4</v>
      </c>
      <c r="D1998" t="n">
        <v>0</v>
      </c>
      <c r="E1998" t="s">
        <v>2005</v>
      </c>
      <c r="F1998" t="s"/>
      <c r="G1998" t="s"/>
      <c r="H1998" t="s"/>
      <c r="I1998" t="s"/>
      <c r="J1998" t="n">
        <v>0</v>
      </c>
      <c r="K1998" t="n">
        <v>0</v>
      </c>
      <c r="L1998" t="n">
        <v>1</v>
      </c>
      <c r="M1998" t="n">
        <v>0</v>
      </c>
    </row>
    <row r="1999" spans="1:13">
      <c r="A1999" s="1">
        <f>HYPERLINK("http://www.twitter.com/NathanBLawrence/status/991022518717767680", "991022518717767680")</f>
        <v/>
      </c>
      <c r="B1999" s="2" t="n">
        <v>43220.77262731481</v>
      </c>
      <c r="C1999" t="n">
        <v>0</v>
      </c>
      <c r="D1999" t="n">
        <v>7007</v>
      </c>
      <c r="E1999" t="s">
        <v>2006</v>
      </c>
      <c r="F1999" t="s"/>
      <c r="G1999" t="s"/>
      <c r="H1999" t="s"/>
      <c r="I1999" t="s"/>
      <c r="J1999" t="n">
        <v>0.7184</v>
      </c>
      <c r="K1999" t="n">
        <v>0.045</v>
      </c>
      <c r="L1999" t="n">
        <v>0.747</v>
      </c>
      <c r="M1999" t="n">
        <v>0.208</v>
      </c>
    </row>
    <row r="2000" spans="1:13">
      <c r="A2000" s="1">
        <f>HYPERLINK("http://www.twitter.com/NathanBLawrence/status/991022160566079488", "991022160566079488")</f>
        <v/>
      </c>
      <c r="B2000" s="2" t="n">
        <v>43220.77164351852</v>
      </c>
      <c r="C2000" t="n">
        <v>0</v>
      </c>
      <c r="D2000" t="n">
        <v>831</v>
      </c>
      <c r="E2000" t="s">
        <v>2007</v>
      </c>
      <c r="F2000">
        <f>HYPERLINK("http://pbs.twimg.com/media/DcBt4tSU8AE6erX.jpg", "http://pbs.twimg.com/media/DcBt4tSU8AE6erX.jpg")</f>
        <v/>
      </c>
      <c r="G2000" t="s"/>
      <c r="H2000" t="s"/>
      <c r="I2000" t="s"/>
      <c r="J2000" t="n">
        <v>-0.0572</v>
      </c>
      <c r="K2000" t="n">
        <v>0.08799999999999999</v>
      </c>
      <c r="L2000" t="n">
        <v>0.835</v>
      </c>
      <c r="M2000" t="n">
        <v>0.077</v>
      </c>
    </row>
    <row r="2001" spans="1:13">
      <c r="A2001" s="1">
        <f>HYPERLINK("http://www.twitter.com/NathanBLawrence/status/991019231654232064", "991019231654232064")</f>
        <v/>
      </c>
      <c r="B2001" s="2" t="n">
        <v>43220.76355324074</v>
      </c>
      <c r="C2001" t="n">
        <v>0</v>
      </c>
      <c r="D2001" t="n">
        <v>2054</v>
      </c>
      <c r="E2001" t="s">
        <v>2008</v>
      </c>
      <c r="F2001" t="s"/>
      <c r="G2001" t="s"/>
      <c r="H2001" t="s"/>
      <c r="I2001" t="s"/>
      <c r="J2001" t="n">
        <v>0.6369</v>
      </c>
      <c r="K2001" t="n">
        <v>0</v>
      </c>
      <c r="L2001" t="n">
        <v>0.826</v>
      </c>
      <c r="M2001" t="n">
        <v>0.174</v>
      </c>
    </row>
    <row r="2002" spans="1:13">
      <c r="A2002" s="1">
        <f>HYPERLINK("http://www.twitter.com/NathanBLawrence/status/991018082737913856", "991018082737913856")</f>
        <v/>
      </c>
      <c r="B2002" s="2" t="n">
        <v>43220.76038194444</v>
      </c>
      <c r="C2002" t="n">
        <v>0</v>
      </c>
      <c r="D2002" t="n">
        <v>111</v>
      </c>
      <c r="E2002" t="s">
        <v>2009</v>
      </c>
      <c r="F2002">
        <f>HYPERLINK("http://pbs.twimg.com/media/DcBsl1rWAAAOy0y.jpg", "http://pbs.twimg.com/media/DcBsl1rWAAAOy0y.jpg")</f>
        <v/>
      </c>
      <c r="G2002">
        <f>HYPERLINK("http://pbs.twimg.com/media/DcBsl1YWkAIsNxh.jpg", "http://pbs.twimg.com/media/DcBsl1YWkAIsNxh.jpg")</f>
        <v/>
      </c>
      <c r="H2002" t="s"/>
      <c r="I2002" t="s"/>
      <c r="J2002" t="n">
        <v>0</v>
      </c>
      <c r="K2002" t="n">
        <v>0</v>
      </c>
      <c r="L2002" t="n">
        <v>1</v>
      </c>
      <c r="M2002" t="n">
        <v>0</v>
      </c>
    </row>
    <row r="2003" spans="1:13">
      <c r="A2003" s="1">
        <f>HYPERLINK("http://www.twitter.com/NathanBLawrence/status/991017988626169856", "991017988626169856")</f>
        <v/>
      </c>
      <c r="B2003" s="2" t="n">
        <v>43220.76012731482</v>
      </c>
      <c r="C2003" t="n">
        <v>0</v>
      </c>
      <c r="D2003" t="n">
        <v>4612</v>
      </c>
      <c r="E2003" t="s">
        <v>2010</v>
      </c>
      <c r="F2003" t="s"/>
      <c r="G2003" t="s"/>
      <c r="H2003" t="s"/>
      <c r="I2003" t="s"/>
      <c r="J2003" t="n">
        <v>-0.6908</v>
      </c>
      <c r="K2003" t="n">
        <v>0.247</v>
      </c>
      <c r="L2003" t="n">
        <v>0.7</v>
      </c>
      <c r="M2003" t="n">
        <v>0.053</v>
      </c>
    </row>
    <row r="2004" spans="1:13">
      <c r="A2004" s="1">
        <f>HYPERLINK("http://www.twitter.com/NathanBLawrence/status/991017526514470915", "991017526514470915")</f>
        <v/>
      </c>
      <c r="B2004" s="2" t="n">
        <v>43220.75885416667</v>
      </c>
      <c r="C2004" t="n">
        <v>0</v>
      </c>
      <c r="D2004" t="n">
        <v>7</v>
      </c>
      <c r="E2004" t="s">
        <v>2011</v>
      </c>
      <c r="F2004" t="s"/>
      <c r="G2004" t="s"/>
      <c r="H2004" t="s"/>
      <c r="I2004" t="s"/>
      <c r="J2004" t="n">
        <v>0</v>
      </c>
      <c r="K2004" t="n">
        <v>0</v>
      </c>
      <c r="L2004" t="n">
        <v>1</v>
      </c>
      <c r="M2004" t="n">
        <v>0</v>
      </c>
    </row>
    <row r="2005" spans="1:13">
      <c r="A2005" s="1">
        <f>HYPERLINK("http://www.twitter.com/NathanBLawrence/status/991015197031649280", "991015197031649280")</f>
        <v/>
      </c>
      <c r="B2005" s="2" t="n">
        <v>43220.75241898148</v>
      </c>
      <c r="C2005" t="n">
        <v>1</v>
      </c>
      <c r="D2005" t="n">
        <v>0</v>
      </c>
      <c r="E2005" t="s">
        <v>2012</v>
      </c>
      <c r="F2005" t="s"/>
      <c r="G2005" t="s"/>
      <c r="H2005" t="s"/>
      <c r="I2005" t="s"/>
      <c r="J2005" t="n">
        <v>0</v>
      </c>
      <c r="K2005" t="n">
        <v>0</v>
      </c>
      <c r="L2005" t="n">
        <v>1</v>
      </c>
      <c r="M2005" t="n">
        <v>0</v>
      </c>
    </row>
    <row r="2006" spans="1:13">
      <c r="A2006" s="1">
        <f>HYPERLINK("http://www.twitter.com/NathanBLawrence/status/991014964956573696", "991014964956573696")</f>
        <v/>
      </c>
      <c r="B2006" s="2" t="n">
        <v>43220.75178240741</v>
      </c>
      <c r="C2006" t="n">
        <v>0</v>
      </c>
      <c r="D2006" t="n">
        <v>277</v>
      </c>
      <c r="E2006" t="s">
        <v>2013</v>
      </c>
      <c r="F2006">
        <f>HYPERLINK("http://pbs.twimg.com/media/DcCJal-VwAASDat.jpg", "http://pbs.twimg.com/media/DcCJal-VwAASDat.jpg")</f>
        <v/>
      </c>
      <c r="G2006" t="s"/>
      <c r="H2006" t="s"/>
      <c r="I2006" t="s"/>
      <c r="J2006" t="n">
        <v>0.5574</v>
      </c>
      <c r="K2006" t="n">
        <v>0</v>
      </c>
      <c r="L2006" t="n">
        <v>0.625</v>
      </c>
      <c r="M2006" t="n">
        <v>0.375</v>
      </c>
    </row>
    <row r="2007" spans="1:13">
      <c r="A2007" s="1">
        <f>HYPERLINK("http://www.twitter.com/NathanBLawrence/status/990962103354773506", "990962103354773506")</f>
        <v/>
      </c>
      <c r="B2007" s="2" t="n">
        <v>43220.60591435185</v>
      </c>
      <c r="C2007" t="n">
        <v>0</v>
      </c>
      <c r="D2007" t="n">
        <v>20289</v>
      </c>
      <c r="E2007" t="s">
        <v>2014</v>
      </c>
      <c r="F2007" t="s"/>
      <c r="G2007" t="s"/>
      <c r="H2007" t="s"/>
      <c r="I2007" t="s"/>
      <c r="J2007" t="n">
        <v>0.6956</v>
      </c>
      <c r="K2007" t="n">
        <v>0</v>
      </c>
      <c r="L2007" t="n">
        <v>0.8080000000000001</v>
      </c>
      <c r="M2007" t="n">
        <v>0.192</v>
      </c>
    </row>
    <row r="2008" spans="1:13">
      <c r="A2008" s="1">
        <f>HYPERLINK("http://www.twitter.com/NathanBLawrence/status/990961924719312896", "990961924719312896")</f>
        <v/>
      </c>
      <c r="B2008" s="2" t="n">
        <v>43220.60541666667</v>
      </c>
      <c r="C2008" t="n">
        <v>0</v>
      </c>
      <c r="D2008" t="n">
        <v>23447</v>
      </c>
      <c r="E2008" t="s">
        <v>2015</v>
      </c>
      <c r="F2008" t="s"/>
      <c r="G2008" t="s"/>
      <c r="H2008" t="s"/>
      <c r="I2008" t="s"/>
      <c r="J2008" t="n">
        <v>-0.9191</v>
      </c>
      <c r="K2008" t="n">
        <v>0.376</v>
      </c>
      <c r="L2008" t="n">
        <v>0.624</v>
      </c>
      <c r="M2008" t="n">
        <v>0</v>
      </c>
    </row>
    <row r="2009" spans="1:13">
      <c r="A2009" s="1">
        <f>HYPERLINK("http://www.twitter.com/NathanBLawrence/status/990961542291050496", "990961542291050496")</f>
        <v/>
      </c>
      <c r="B2009" s="2" t="n">
        <v>43220.60436342593</v>
      </c>
      <c r="C2009" t="n">
        <v>0</v>
      </c>
      <c r="D2009" t="n">
        <v>0</v>
      </c>
      <c r="E2009" t="s">
        <v>2016</v>
      </c>
      <c r="F2009" t="s"/>
      <c r="G2009" t="s"/>
      <c r="H2009" t="s"/>
      <c r="I2009" t="s"/>
      <c r="J2009" t="n">
        <v>0</v>
      </c>
      <c r="K2009" t="n">
        <v>0</v>
      </c>
      <c r="L2009" t="n">
        <v>1</v>
      </c>
      <c r="M2009" t="n">
        <v>0</v>
      </c>
    </row>
    <row r="2010" spans="1:13">
      <c r="A2010" s="1">
        <f>HYPERLINK("http://www.twitter.com/NathanBLawrence/status/990961155836280832", "990961155836280832")</f>
        <v/>
      </c>
      <c r="B2010" s="2" t="n">
        <v>43220.60329861111</v>
      </c>
      <c r="C2010" t="n">
        <v>0</v>
      </c>
      <c r="D2010" t="n">
        <v>2576</v>
      </c>
      <c r="E2010" t="s">
        <v>2017</v>
      </c>
      <c r="F2010" t="s"/>
      <c r="G2010" t="s"/>
      <c r="H2010" t="s"/>
      <c r="I2010" t="s"/>
      <c r="J2010" t="n">
        <v>0.5106000000000001</v>
      </c>
      <c r="K2010" t="n">
        <v>0</v>
      </c>
      <c r="L2010" t="n">
        <v>0.602</v>
      </c>
      <c r="M2010" t="n">
        <v>0.398</v>
      </c>
    </row>
    <row r="2011" spans="1:13">
      <c r="A2011" s="1">
        <f>HYPERLINK("http://www.twitter.com/NathanBLawrence/status/990961107605929984", "990961107605929984")</f>
        <v/>
      </c>
      <c r="B2011" s="2" t="n">
        <v>43220.60315972222</v>
      </c>
      <c r="C2011" t="n">
        <v>0</v>
      </c>
      <c r="D2011" t="n">
        <v>5986</v>
      </c>
      <c r="E2011" t="s">
        <v>2018</v>
      </c>
      <c r="F2011">
        <f>HYPERLINK("http://pbs.twimg.com/media/DcB97aQXkAE2LI7.jpg", "http://pbs.twimg.com/media/DcB97aQXkAE2LI7.jpg")</f>
        <v/>
      </c>
      <c r="G2011" t="s"/>
      <c r="H2011" t="s"/>
      <c r="I2011" t="s"/>
      <c r="J2011" t="n">
        <v>0.3612</v>
      </c>
      <c r="K2011" t="n">
        <v>0</v>
      </c>
      <c r="L2011" t="n">
        <v>0.872</v>
      </c>
      <c r="M2011" t="n">
        <v>0.128</v>
      </c>
    </row>
    <row r="2012" spans="1:13">
      <c r="A2012" s="1">
        <f>HYPERLINK("http://www.twitter.com/NathanBLawrence/status/990960355068100608", "990960355068100608")</f>
        <v/>
      </c>
      <c r="B2012" s="2" t="n">
        <v>43220.60108796296</v>
      </c>
      <c r="C2012" t="n">
        <v>0</v>
      </c>
      <c r="D2012" t="n">
        <v>629</v>
      </c>
      <c r="E2012" t="s">
        <v>2019</v>
      </c>
      <c r="F2012" t="s"/>
      <c r="G2012" t="s"/>
      <c r="H2012" t="s"/>
      <c r="I2012" t="s"/>
      <c r="J2012" t="n">
        <v>-0.7531</v>
      </c>
      <c r="K2012" t="n">
        <v>0.263</v>
      </c>
      <c r="L2012" t="n">
        <v>0.737</v>
      </c>
      <c r="M2012" t="n">
        <v>0</v>
      </c>
    </row>
    <row r="2013" spans="1:13">
      <c r="A2013" s="1">
        <f>HYPERLINK("http://www.twitter.com/NathanBLawrence/status/990960219894108160", "990960219894108160")</f>
        <v/>
      </c>
      <c r="B2013" s="2" t="n">
        <v>43220.60071759259</v>
      </c>
      <c r="C2013" t="n">
        <v>0</v>
      </c>
      <c r="D2013" t="n">
        <v>349</v>
      </c>
      <c r="E2013" t="s">
        <v>2020</v>
      </c>
      <c r="F2013" t="s"/>
      <c r="G2013" t="s"/>
      <c r="H2013" t="s"/>
      <c r="I2013" t="s"/>
      <c r="J2013" t="n">
        <v>-0.3182</v>
      </c>
      <c r="K2013" t="n">
        <v>0.223</v>
      </c>
      <c r="L2013" t="n">
        <v>0.664</v>
      </c>
      <c r="M2013" t="n">
        <v>0.114</v>
      </c>
    </row>
    <row r="2014" spans="1:13">
      <c r="A2014" s="1">
        <f>HYPERLINK("http://www.twitter.com/NathanBLawrence/status/990960131054624769", "990960131054624769")</f>
        <v/>
      </c>
      <c r="B2014" s="2" t="n">
        <v>43220.60047453704</v>
      </c>
      <c r="C2014" t="n">
        <v>0</v>
      </c>
      <c r="D2014" t="n">
        <v>233</v>
      </c>
      <c r="E2014" t="s">
        <v>2021</v>
      </c>
      <c r="F2014" t="s"/>
      <c r="G2014" t="s"/>
      <c r="H2014" t="s"/>
      <c r="I2014" t="s"/>
      <c r="J2014" t="n">
        <v>-0.5574</v>
      </c>
      <c r="K2014" t="n">
        <v>0.235</v>
      </c>
      <c r="L2014" t="n">
        <v>0.765</v>
      </c>
      <c r="M2014" t="n">
        <v>0</v>
      </c>
    </row>
    <row r="2015" spans="1:13">
      <c r="A2015" s="1">
        <f>HYPERLINK("http://www.twitter.com/NathanBLawrence/status/990959918919241728", "990959918919241728")</f>
        <v/>
      </c>
      <c r="B2015" s="2" t="n">
        <v>43220.59988425926</v>
      </c>
      <c r="C2015" t="n">
        <v>0</v>
      </c>
      <c r="D2015" t="n">
        <v>90</v>
      </c>
      <c r="E2015" t="s">
        <v>2022</v>
      </c>
      <c r="F2015">
        <f>HYPERLINK("http://pbs.twimg.com/media/Db9jUGaUQAI54Rs.jpg", "http://pbs.twimg.com/media/Db9jUGaUQAI54Rs.jpg")</f>
        <v/>
      </c>
      <c r="G2015" t="s"/>
      <c r="H2015" t="s"/>
      <c r="I2015" t="s"/>
      <c r="J2015" t="n">
        <v>0.3612</v>
      </c>
      <c r="K2015" t="n">
        <v>0.08500000000000001</v>
      </c>
      <c r="L2015" t="n">
        <v>0.772</v>
      </c>
      <c r="M2015" t="n">
        <v>0.143</v>
      </c>
    </row>
    <row r="2016" spans="1:13">
      <c r="A2016" s="1">
        <f>HYPERLINK("http://www.twitter.com/NathanBLawrence/status/990958238047727616", "990958238047727616")</f>
        <v/>
      </c>
      <c r="B2016" s="2" t="n">
        <v>43220.59524305556</v>
      </c>
      <c r="C2016" t="n">
        <v>0</v>
      </c>
      <c r="D2016" t="n">
        <v>348</v>
      </c>
      <c r="E2016" t="s">
        <v>2023</v>
      </c>
      <c r="F2016" t="s"/>
      <c r="G2016" t="s"/>
      <c r="H2016" t="s"/>
      <c r="I2016" t="s"/>
      <c r="J2016" t="n">
        <v>-0.2263</v>
      </c>
      <c r="K2016" t="n">
        <v>0.083</v>
      </c>
      <c r="L2016" t="n">
        <v>0.917</v>
      </c>
      <c r="M2016" t="n">
        <v>0</v>
      </c>
    </row>
    <row r="2017" spans="1:13">
      <c r="A2017" s="1">
        <f>HYPERLINK("http://www.twitter.com/NathanBLawrence/status/990955510315692032", "990955510315692032")</f>
        <v/>
      </c>
      <c r="B2017" s="2" t="n">
        <v>43220.58771990741</v>
      </c>
      <c r="C2017" t="n">
        <v>0</v>
      </c>
      <c r="D2017" t="n">
        <v>0</v>
      </c>
      <c r="E2017" t="s">
        <v>2024</v>
      </c>
      <c r="F2017" t="s"/>
      <c r="G2017" t="s"/>
      <c r="H2017" t="s"/>
      <c r="I2017" t="s"/>
      <c r="J2017" t="n">
        <v>0</v>
      </c>
      <c r="K2017" t="n">
        <v>0</v>
      </c>
      <c r="L2017" t="n">
        <v>1</v>
      </c>
      <c r="M2017" t="n">
        <v>0</v>
      </c>
    </row>
    <row r="2018" spans="1:13">
      <c r="A2018" s="1">
        <f>HYPERLINK("http://www.twitter.com/NathanBLawrence/status/990953196422971394", "990953196422971394")</f>
        <v/>
      </c>
      <c r="B2018" s="2" t="n">
        <v>43220.58133101852</v>
      </c>
      <c r="C2018" t="n">
        <v>0</v>
      </c>
      <c r="D2018" t="n">
        <v>516</v>
      </c>
      <c r="E2018" t="s">
        <v>2025</v>
      </c>
      <c r="F2018" t="s"/>
      <c r="G2018" t="s"/>
      <c r="H2018" t="s"/>
      <c r="I2018" t="s"/>
      <c r="J2018" t="n">
        <v>-0.0516</v>
      </c>
      <c r="K2018" t="n">
        <v>0.121</v>
      </c>
      <c r="L2018" t="n">
        <v>0.766</v>
      </c>
      <c r="M2018" t="n">
        <v>0.113</v>
      </c>
    </row>
    <row r="2019" spans="1:13">
      <c r="A2019" s="1">
        <f>HYPERLINK("http://www.twitter.com/NathanBLawrence/status/990951964216209408", "990951964216209408")</f>
        <v/>
      </c>
      <c r="B2019" s="2" t="n">
        <v>43220.57792824074</v>
      </c>
      <c r="C2019" t="n">
        <v>0</v>
      </c>
      <c r="D2019" t="n">
        <v>7829</v>
      </c>
      <c r="E2019" t="s">
        <v>2026</v>
      </c>
      <c r="F2019" t="s"/>
      <c r="G2019" t="s"/>
      <c r="H2019" t="s"/>
      <c r="I2019" t="s"/>
      <c r="J2019" t="n">
        <v>0.1808</v>
      </c>
      <c r="K2019" t="n">
        <v>0.175</v>
      </c>
      <c r="L2019" t="n">
        <v>0.627</v>
      </c>
      <c r="M2019" t="n">
        <v>0.198</v>
      </c>
    </row>
    <row r="2020" spans="1:13">
      <c r="A2020" s="1">
        <f>HYPERLINK("http://www.twitter.com/NathanBLawrence/status/990840458900275200", "990840458900275200")</f>
        <v/>
      </c>
      <c r="B2020" s="2" t="n">
        <v>43220.27023148148</v>
      </c>
      <c r="C2020" t="n">
        <v>0</v>
      </c>
      <c r="D2020" t="n">
        <v>3571</v>
      </c>
      <c r="E2020" t="s">
        <v>2027</v>
      </c>
      <c r="F2020" t="s"/>
      <c r="G2020" t="s"/>
      <c r="H2020" t="s"/>
      <c r="I2020" t="s"/>
      <c r="J2020" t="n">
        <v>-0.2621</v>
      </c>
      <c r="K2020" t="n">
        <v>0.103</v>
      </c>
      <c r="L2020" t="n">
        <v>0.843</v>
      </c>
      <c r="M2020" t="n">
        <v>0.054</v>
      </c>
    </row>
    <row r="2021" spans="1:13">
      <c r="A2021" s="1">
        <f>HYPERLINK("http://www.twitter.com/NathanBLawrence/status/990838277837152256", "990838277837152256")</f>
        <v/>
      </c>
      <c r="B2021" s="2" t="n">
        <v>43220.26421296296</v>
      </c>
      <c r="C2021" t="n">
        <v>0</v>
      </c>
      <c r="D2021" t="n">
        <v>1914</v>
      </c>
      <c r="E2021" t="s">
        <v>2028</v>
      </c>
      <c r="F2021">
        <f>HYPERLINK("http://pbs.twimg.com/media/DcAApFpU0AAnXuN.jpg", "http://pbs.twimg.com/media/DcAApFpU0AAnXuN.jpg")</f>
        <v/>
      </c>
      <c r="G2021" t="s"/>
      <c r="H2021" t="s"/>
      <c r="I2021" t="s"/>
      <c r="J2021" t="n">
        <v>-0.6556999999999999</v>
      </c>
      <c r="K2021" t="n">
        <v>0.179</v>
      </c>
      <c r="L2021" t="n">
        <v>0.821</v>
      </c>
      <c r="M2021" t="n">
        <v>0</v>
      </c>
    </row>
    <row r="2022" spans="1:13">
      <c r="A2022" s="1">
        <f>HYPERLINK("http://www.twitter.com/NathanBLawrence/status/990838067475943424", "990838067475943424")</f>
        <v/>
      </c>
      <c r="B2022" s="2" t="n">
        <v>43220.26363425926</v>
      </c>
      <c r="C2022" t="n">
        <v>0</v>
      </c>
      <c r="D2022" t="n">
        <v>5888</v>
      </c>
      <c r="E2022" t="s">
        <v>2029</v>
      </c>
      <c r="F2022" t="s"/>
      <c r="G2022" t="s"/>
      <c r="H2022" t="s"/>
      <c r="I2022" t="s"/>
      <c r="J2022" t="n">
        <v>-0.5574</v>
      </c>
      <c r="K2022" t="n">
        <v>0.126</v>
      </c>
      <c r="L2022" t="n">
        <v>0.874</v>
      </c>
      <c r="M2022" t="n">
        <v>0</v>
      </c>
    </row>
    <row r="2023" spans="1:13">
      <c r="A2023" s="1">
        <f>HYPERLINK("http://www.twitter.com/NathanBLawrence/status/990837935355375616", "990837935355375616")</f>
        <v/>
      </c>
      <c r="B2023" s="2" t="n">
        <v>43220.26327546296</v>
      </c>
      <c r="C2023" t="n">
        <v>0</v>
      </c>
      <c r="D2023" t="n">
        <v>777</v>
      </c>
      <c r="E2023" t="s">
        <v>2030</v>
      </c>
      <c r="F2023" t="s"/>
      <c r="G2023" t="s"/>
      <c r="H2023" t="s"/>
      <c r="I2023" t="s"/>
      <c r="J2023" t="n">
        <v>0.4019</v>
      </c>
      <c r="K2023" t="n">
        <v>0</v>
      </c>
      <c r="L2023" t="n">
        <v>0.899</v>
      </c>
      <c r="M2023" t="n">
        <v>0.101</v>
      </c>
    </row>
    <row r="2024" spans="1:13">
      <c r="A2024" s="1">
        <f>HYPERLINK("http://www.twitter.com/NathanBLawrence/status/990837877968957440", "990837877968957440")</f>
        <v/>
      </c>
      <c r="B2024" s="2" t="n">
        <v>43220.26311342593</v>
      </c>
      <c r="C2024" t="n">
        <v>0</v>
      </c>
      <c r="D2024" t="n">
        <v>321</v>
      </c>
      <c r="E2024" t="s">
        <v>2031</v>
      </c>
      <c r="F2024" t="s"/>
      <c r="G2024" t="s"/>
      <c r="H2024" t="s"/>
      <c r="I2024" t="s"/>
      <c r="J2024" t="n">
        <v>0</v>
      </c>
      <c r="K2024" t="n">
        <v>0</v>
      </c>
      <c r="L2024" t="n">
        <v>1</v>
      </c>
      <c r="M2024" t="n">
        <v>0</v>
      </c>
    </row>
    <row r="2025" spans="1:13">
      <c r="A2025" s="1">
        <f>HYPERLINK("http://www.twitter.com/NathanBLawrence/status/990836784866185216", "990836784866185216")</f>
        <v/>
      </c>
      <c r="B2025" s="2" t="n">
        <v>43220.26010416666</v>
      </c>
      <c r="C2025" t="n">
        <v>0</v>
      </c>
      <c r="D2025" t="n">
        <v>425</v>
      </c>
      <c r="E2025" t="s">
        <v>2032</v>
      </c>
      <c r="F2025" t="s"/>
      <c r="G2025" t="s"/>
      <c r="H2025" t="s"/>
      <c r="I2025" t="s"/>
      <c r="J2025" t="n">
        <v>-0.4404</v>
      </c>
      <c r="K2025" t="n">
        <v>0.182</v>
      </c>
      <c r="L2025" t="n">
        <v>0.8179999999999999</v>
      </c>
      <c r="M2025" t="n">
        <v>0</v>
      </c>
    </row>
    <row r="2026" spans="1:13">
      <c r="A2026" s="1">
        <f>HYPERLINK("http://www.twitter.com/NathanBLawrence/status/990836667689947136", "990836667689947136")</f>
        <v/>
      </c>
      <c r="B2026" s="2" t="n">
        <v>43220.25978009259</v>
      </c>
      <c r="C2026" t="n">
        <v>0</v>
      </c>
      <c r="D2026" t="n">
        <v>5179</v>
      </c>
      <c r="E2026" t="s">
        <v>2033</v>
      </c>
      <c r="F2026" t="s"/>
      <c r="G2026" t="s"/>
      <c r="H2026" t="s"/>
      <c r="I2026" t="s"/>
      <c r="J2026" t="n">
        <v>0.5719</v>
      </c>
      <c r="K2026" t="n">
        <v>0</v>
      </c>
      <c r="L2026" t="n">
        <v>0.8120000000000001</v>
      </c>
      <c r="M2026" t="n">
        <v>0.188</v>
      </c>
    </row>
    <row r="2027" spans="1:13">
      <c r="A2027" s="1">
        <f>HYPERLINK("http://www.twitter.com/NathanBLawrence/status/990836487683010560", "990836487683010560")</f>
        <v/>
      </c>
      <c r="B2027" s="2" t="n">
        <v>43220.25928240741</v>
      </c>
      <c r="C2027" t="n">
        <v>0</v>
      </c>
      <c r="D2027" t="n">
        <v>5</v>
      </c>
      <c r="E2027" t="s">
        <v>2034</v>
      </c>
      <c r="F2027" t="s"/>
      <c r="G2027" t="s"/>
      <c r="H2027" t="s"/>
      <c r="I2027" t="s"/>
      <c r="J2027" t="n">
        <v>0.3753</v>
      </c>
      <c r="K2027" t="n">
        <v>0.154</v>
      </c>
      <c r="L2027" t="n">
        <v>0.626</v>
      </c>
      <c r="M2027" t="n">
        <v>0.22</v>
      </c>
    </row>
    <row r="2028" spans="1:13">
      <c r="A2028" s="1">
        <f>HYPERLINK("http://www.twitter.com/NathanBLawrence/status/990836154407837696", "990836154407837696")</f>
        <v/>
      </c>
      <c r="B2028" s="2" t="n">
        <v>43220.25835648148</v>
      </c>
      <c r="C2028" t="n">
        <v>0</v>
      </c>
      <c r="D2028" t="n">
        <v>374</v>
      </c>
      <c r="E2028" t="s">
        <v>2035</v>
      </c>
      <c r="F2028" t="s"/>
      <c r="G2028" t="s"/>
      <c r="H2028" t="s"/>
      <c r="I2028" t="s"/>
      <c r="J2028" t="n">
        <v>0.0772</v>
      </c>
      <c r="K2028" t="n">
        <v>0.116</v>
      </c>
      <c r="L2028" t="n">
        <v>0.757</v>
      </c>
      <c r="M2028" t="n">
        <v>0.127</v>
      </c>
    </row>
    <row r="2029" spans="1:13">
      <c r="A2029" s="1">
        <f>HYPERLINK("http://www.twitter.com/NathanBLawrence/status/990836006675976192", "990836006675976192")</f>
        <v/>
      </c>
      <c r="B2029" s="2" t="n">
        <v>43220.25795138889</v>
      </c>
      <c r="C2029" t="n">
        <v>0</v>
      </c>
      <c r="D2029" t="n">
        <v>32</v>
      </c>
      <c r="E2029" t="s">
        <v>2036</v>
      </c>
      <c r="F2029" t="s"/>
      <c r="G2029" t="s"/>
      <c r="H2029" t="s"/>
      <c r="I2029" t="s"/>
      <c r="J2029" t="n">
        <v>0.2869</v>
      </c>
      <c r="K2029" t="n">
        <v>0.099</v>
      </c>
      <c r="L2029" t="n">
        <v>0.737</v>
      </c>
      <c r="M2029" t="n">
        <v>0.164</v>
      </c>
    </row>
    <row r="2030" spans="1:13">
      <c r="A2030" s="1">
        <f>HYPERLINK("http://www.twitter.com/NathanBLawrence/status/990835548276346880", "990835548276346880")</f>
        <v/>
      </c>
      <c r="B2030" s="2" t="n">
        <v>43220.25668981481</v>
      </c>
      <c r="C2030" t="n">
        <v>0</v>
      </c>
      <c r="D2030" t="n">
        <v>9691</v>
      </c>
      <c r="E2030" t="s">
        <v>2037</v>
      </c>
      <c r="F2030" t="s"/>
      <c r="G2030" t="s"/>
      <c r="H2030" t="s"/>
      <c r="I2030" t="s"/>
      <c r="J2030" t="n">
        <v>-0.8687</v>
      </c>
      <c r="K2030" t="n">
        <v>0.365</v>
      </c>
      <c r="L2030" t="n">
        <v>0.635</v>
      </c>
      <c r="M2030" t="n">
        <v>0</v>
      </c>
    </row>
    <row r="2031" spans="1:13">
      <c r="A2031" s="1">
        <f>HYPERLINK("http://www.twitter.com/NathanBLawrence/status/990835427316785152", "990835427316785152")</f>
        <v/>
      </c>
      <c r="B2031" s="2" t="n">
        <v>43220.25635416667</v>
      </c>
      <c r="C2031" t="n">
        <v>0</v>
      </c>
      <c r="D2031" t="n">
        <v>29</v>
      </c>
      <c r="E2031" t="s">
        <v>2038</v>
      </c>
      <c r="F2031" t="s"/>
      <c r="G2031" t="s"/>
      <c r="H2031" t="s"/>
      <c r="I2031" t="s"/>
      <c r="J2031" t="n">
        <v>0</v>
      </c>
      <c r="K2031" t="n">
        <v>0</v>
      </c>
      <c r="L2031" t="n">
        <v>1</v>
      </c>
      <c r="M2031" t="n">
        <v>0</v>
      </c>
    </row>
    <row r="2032" spans="1:13">
      <c r="A2032" s="1">
        <f>HYPERLINK("http://www.twitter.com/NathanBLawrence/status/990834990089998336", "990834990089998336")</f>
        <v/>
      </c>
      <c r="B2032" s="2" t="n">
        <v>43220.25515046297</v>
      </c>
      <c r="C2032" t="n">
        <v>0</v>
      </c>
      <c r="D2032" t="n">
        <v>978</v>
      </c>
      <c r="E2032" t="s">
        <v>2039</v>
      </c>
      <c r="F2032" t="s"/>
      <c r="G2032" t="s"/>
      <c r="H2032" t="s"/>
      <c r="I2032" t="s"/>
      <c r="J2032" t="n">
        <v>-0.5093</v>
      </c>
      <c r="K2032" t="n">
        <v>0.157</v>
      </c>
      <c r="L2032" t="n">
        <v>0.843</v>
      </c>
      <c r="M2032" t="n">
        <v>0</v>
      </c>
    </row>
    <row r="2033" spans="1:13">
      <c r="A2033" s="1">
        <f>HYPERLINK("http://www.twitter.com/NathanBLawrence/status/990834830383419393", "990834830383419393")</f>
        <v/>
      </c>
      <c r="B2033" s="2" t="n">
        <v>43220.25471064815</v>
      </c>
      <c r="C2033" t="n">
        <v>0</v>
      </c>
      <c r="D2033" t="n">
        <v>1445</v>
      </c>
      <c r="E2033" t="s">
        <v>2040</v>
      </c>
      <c r="F2033" t="s"/>
      <c r="G2033" t="s"/>
      <c r="H2033" t="s"/>
      <c r="I2033" t="s"/>
      <c r="J2033" t="n">
        <v>0</v>
      </c>
      <c r="K2033" t="n">
        <v>0</v>
      </c>
      <c r="L2033" t="n">
        <v>1</v>
      </c>
      <c r="M2033" t="n">
        <v>0</v>
      </c>
    </row>
    <row r="2034" spans="1:13">
      <c r="A2034" s="1">
        <f>HYPERLINK("http://www.twitter.com/NathanBLawrence/status/990834690201391109", "990834690201391109")</f>
        <v/>
      </c>
      <c r="B2034" s="2" t="n">
        <v>43220.25431712963</v>
      </c>
      <c r="C2034" t="n">
        <v>0</v>
      </c>
      <c r="D2034" t="n">
        <v>2525</v>
      </c>
      <c r="E2034" t="s">
        <v>2041</v>
      </c>
      <c r="F2034" t="s"/>
      <c r="G2034" t="s"/>
      <c r="H2034" t="s"/>
      <c r="I2034" t="s"/>
      <c r="J2034" t="n">
        <v>-0.1531</v>
      </c>
      <c r="K2034" t="n">
        <v>0.169</v>
      </c>
      <c r="L2034" t="n">
        <v>0.704</v>
      </c>
      <c r="M2034" t="n">
        <v>0.127</v>
      </c>
    </row>
    <row r="2035" spans="1:13">
      <c r="A2035" s="1">
        <f>HYPERLINK("http://www.twitter.com/NathanBLawrence/status/990834595838025728", "990834595838025728")</f>
        <v/>
      </c>
      <c r="B2035" s="2" t="n">
        <v>43220.2540625</v>
      </c>
      <c r="C2035" t="n">
        <v>0</v>
      </c>
      <c r="D2035" t="n">
        <v>72</v>
      </c>
      <c r="E2035" t="s">
        <v>2042</v>
      </c>
      <c r="F2035" t="s"/>
      <c r="G2035" t="s"/>
      <c r="H2035" t="s"/>
      <c r="I2035" t="s"/>
      <c r="J2035" t="n">
        <v>0</v>
      </c>
      <c r="K2035" t="n">
        <v>0</v>
      </c>
      <c r="L2035" t="n">
        <v>1</v>
      </c>
      <c r="M2035" t="n">
        <v>0</v>
      </c>
    </row>
    <row r="2036" spans="1:13">
      <c r="A2036" s="1">
        <f>HYPERLINK("http://www.twitter.com/NathanBLawrence/status/990834376727519232", "990834376727519232")</f>
        <v/>
      </c>
      <c r="B2036" s="2" t="n">
        <v>43220.25344907407</v>
      </c>
      <c r="C2036" t="n">
        <v>0</v>
      </c>
      <c r="D2036" t="n">
        <v>1</v>
      </c>
      <c r="E2036" t="s">
        <v>2043</v>
      </c>
      <c r="F2036" t="s"/>
      <c r="G2036" t="s"/>
      <c r="H2036" t="s"/>
      <c r="I2036" t="s"/>
      <c r="J2036" t="n">
        <v>0</v>
      </c>
      <c r="K2036" t="n">
        <v>0</v>
      </c>
      <c r="L2036" t="n">
        <v>1</v>
      </c>
      <c r="M2036" t="n">
        <v>0</v>
      </c>
    </row>
    <row r="2037" spans="1:13">
      <c r="A2037" s="1">
        <f>HYPERLINK("http://www.twitter.com/NathanBLawrence/status/990833202418929665", "990833202418929665")</f>
        <v/>
      </c>
      <c r="B2037" s="2" t="n">
        <v>43220.25020833333</v>
      </c>
      <c r="C2037" t="n">
        <v>0</v>
      </c>
      <c r="D2037" t="n">
        <v>999</v>
      </c>
      <c r="E2037" t="s">
        <v>2044</v>
      </c>
      <c r="F2037" t="s"/>
      <c r="G2037" t="s"/>
      <c r="H2037" t="s"/>
      <c r="I2037" t="s"/>
      <c r="J2037" t="n">
        <v>0</v>
      </c>
      <c r="K2037" t="n">
        <v>0</v>
      </c>
      <c r="L2037" t="n">
        <v>1</v>
      </c>
      <c r="M2037" t="n">
        <v>0</v>
      </c>
    </row>
    <row r="2038" spans="1:13">
      <c r="A2038" s="1">
        <f>HYPERLINK("http://www.twitter.com/NathanBLawrence/status/990833155509837824", "990833155509837824")</f>
        <v/>
      </c>
      <c r="B2038" s="2" t="n">
        <v>43220.25008101852</v>
      </c>
      <c r="C2038" t="n">
        <v>0</v>
      </c>
      <c r="D2038" t="n">
        <v>1333</v>
      </c>
      <c r="E2038" t="s">
        <v>2045</v>
      </c>
      <c r="F2038" t="s"/>
      <c r="G2038" t="s"/>
      <c r="H2038" t="s"/>
      <c r="I2038" t="s"/>
      <c r="J2038" t="n">
        <v>0.68</v>
      </c>
      <c r="K2038" t="n">
        <v>0</v>
      </c>
      <c r="L2038" t="n">
        <v>0.752</v>
      </c>
      <c r="M2038" t="n">
        <v>0.248</v>
      </c>
    </row>
    <row r="2039" spans="1:13">
      <c r="A2039" s="1">
        <f>HYPERLINK("http://www.twitter.com/NathanBLawrence/status/990833085074821120", "990833085074821120")</f>
        <v/>
      </c>
      <c r="B2039" s="2" t="n">
        <v>43220.24988425926</v>
      </c>
      <c r="C2039" t="n">
        <v>0</v>
      </c>
      <c r="D2039" t="n">
        <v>385</v>
      </c>
      <c r="E2039" t="s">
        <v>2046</v>
      </c>
      <c r="F2039" t="s"/>
      <c r="G2039" t="s"/>
      <c r="H2039" t="s"/>
      <c r="I2039" t="s"/>
      <c r="J2039" t="n">
        <v>0.1027</v>
      </c>
      <c r="K2039" t="n">
        <v>0.126</v>
      </c>
      <c r="L2039" t="n">
        <v>0.6909999999999999</v>
      </c>
      <c r="M2039" t="n">
        <v>0.183</v>
      </c>
    </row>
    <row r="2040" spans="1:13">
      <c r="A2040" s="1">
        <f>HYPERLINK("http://www.twitter.com/NathanBLawrence/status/990832952421609472", "990832952421609472")</f>
        <v/>
      </c>
      <c r="B2040" s="2" t="n">
        <v>43220.24952546296</v>
      </c>
      <c r="C2040" t="n">
        <v>0</v>
      </c>
      <c r="D2040" t="n">
        <v>2570</v>
      </c>
      <c r="E2040" t="s">
        <v>2047</v>
      </c>
      <c r="F2040" t="s"/>
      <c r="G2040" t="s"/>
      <c r="H2040" t="s"/>
      <c r="I2040" t="s"/>
      <c r="J2040" t="n">
        <v>0</v>
      </c>
      <c r="K2040" t="n">
        <v>0</v>
      </c>
      <c r="L2040" t="n">
        <v>1</v>
      </c>
      <c r="M2040" t="n">
        <v>0</v>
      </c>
    </row>
    <row r="2041" spans="1:13">
      <c r="A2041" s="1">
        <f>HYPERLINK("http://www.twitter.com/NathanBLawrence/status/990832607075151873", "990832607075151873")</f>
        <v/>
      </c>
      <c r="B2041" s="2" t="n">
        <v>43220.24856481481</v>
      </c>
      <c r="C2041" t="n">
        <v>0</v>
      </c>
      <c r="D2041" t="n">
        <v>172</v>
      </c>
      <c r="E2041" t="s">
        <v>2048</v>
      </c>
      <c r="F2041" t="s"/>
      <c r="G2041" t="s"/>
      <c r="H2041" t="s"/>
      <c r="I2041" t="s"/>
      <c r="J2041" t="n">
        <v>0</v>
      </c>
      <c r="K2041" t="n">
        <v>0</v>
      </c>
      <c r="L2041" t="n">
        <v>1</v>
      </c>
      <c r="M2041" t="n">
        <v>0</v>
      </c>
    </row>
    <row r="2042" spans="1:13">
      <c r="A2042" s="1">
        <f>HYPERLINK("http://www.twitter.com/NathanBLawrence/status/990832590918647808", "990832590918647808")</f>
        <v/>
      </c>
      <c r="B2042" s="2" t="n">
        <v>43220.24853009259</v>
      </c>
      <c r="C2042" t="n">
        <v>0</v>
      </c>
      <c r="D2042" t="n">
        <v>5540</v>
      </c>
      <c r="E2042" t="s">
        <v>2049</v>
      </c>
      <c r="F2042" t="s"/>
      <c r="G2042" t="s"/>
      <c r="H2042" t="s"/>
      <c r="I2042" t="s"/>
      <c r="J2042" t="n">
        <v>0</v>
      </c>
      <c r="K2042" t="n">
        <v>0</v>
      </c>
      <c r="L2042" t="n">
        <v>1</v>
      </c>
      <c r="M2042" t="n">
        <v>0</v>
      </c>
    </row>
    <row r="2043" spans="1:13">
      <c r="A2043" s="1">
        <f>HYPERLINK("http://www.twitter.com/NathanBLawrence/status/990831947776655360", "990831947776655360")</f>
        <v/>
      </c>
      <c r="B2043" s="2" t="n">
        <v>43220.24674768518</v>
      </c>
      <c r="C2043" t="n">
        <v>0</v>
      </c>
      <c r="D2043" t="n">
        <v>35</v>
      </c>
      <c r="E2043" t="s">
        <v>2050</v>
      </c>
      <c r="F2043">
        <f>HYPERLINK("http://pbs.twimg.com/media/DbhHFuGU8AAPRBF.jpg", "http://pbs.twimg.com/media/DbhHFuGU8AAPRBF.jpg")</f>
        <v/>
      </c>
      <c r="G2043" t="s"/>
      <c r="H2043" t="s"/>
      <c r="I2043" t="s"/>
      <c r="J2043" t="n">
        <v>-0.8625</v>
      </c>
      <c r="K2043" t="n">
        <v>0.336</v>
      </c>
      <c r="L2043" t="n">
        <v>0.664</v>
      </c>
      <c r="M2043" t="n">
        <v>0</v>
      </c>
    </row>
    <row r="2044" spans="1:13">
      <c r="A2044" s="1">
        <f>HYPERLINK("http://www.twitter.com/NathanBLawrence/status/990823928766586880", "990823928766586880")</f>
        <v/>
      </c>
      <c r="B2044" s="2" t="n">
        <v>43220.22461805555</v>
      </c>
      <c r="C2044" t="n">
        <v>0</v>
      </c>
      <c r="D2044" t="n">
        <v>19747</v>
      </c>
      <c r="E2044" t="s">
        <v>2051</v>
      </c>
      <c r="F2044" t="s"/>
      <c r="G2044" t="s"/>
      <c r="H2044" t="s"/>
      <c r="I2044" t="s"/>
      <c r="J2044" t="n">
        <v>-0.6486</v>
      </c>
      <c r="K2044" t="n">
        <v>0.229</v>
      </c>
      <c r="L2044" t="n">
        <v>0.701</v>
      </c>
      <c r="M2044" t="n">
        <v>0.07000000000000001</v>
      </c>
    </row>
    <row r="2045" spans="1:13">
      <c r="A2045" s="1">
        <f>HYPERLINK("http://www.twitter.com/NathanBLawrence/status/990823712185200640", "990823712185200640")</f>
        <v/>
      </c>
      <c r="B2045" s="2" t="n">
        <v>43220.22402777777</v>
      </c>
      <c r="C2045" t="n">
        <v>0</v>
      </c>
      <c r="D2045" t="n">
        <v>22890</v>
      </c>
      <c r="E2045" t="s">
        <v>2052</v>
      </c>
      <c r="F2045" t="s"/>
      <c r="G2045" t="s"/>
      <c r="H2045" t="s"/>
      <c r="I2045" t="s"/>
      <c r="J2045" t="n">
        <v>-0.7184</v>
      </c>
      <c r="K2045" t="n">
        <v>0.25</v>
      </c>
      <c r="L2045" t="n">
        <v>0.75</v>
      </c>
      <c r="M2045" t="n">
        <v>0</v>
      </c>
    </row>
    <row r="2046" spans="1:13">
      <c r="A2046" s="1">
        <f>HYPERLINK("http://www.twitter.com/NathanBLawrence/status/990823635538489344", "990823635538489344")</f>
        <v/>
      </c>
      <c r="B2046" s="2" t="n">
        <v>43220.22380787037</v>
      </c>
      <c r="C2046" t="n">
        <v>0</v>
      </c>
      <c r="D2046" t="n">
        <v>14980</v>
      </c>
      <c r="E2046" t="s">
        <v>2053</v>
      </c>
      <c r="F2046" t="s"/>
      <c r="G2046" t="s"/>
      <c r="H2046" t="s"/>
      <c r="I2046" t="s"/>
      <c r="J2046" t="n">
        <v>0.5983000000000001</v>
      </c>
      <c r="K2046" t="n">
        <v>0.081</v>
      </c>
      <c r="L2046" t="n">
        <v>0.66</v>
      </c>
      <c r="M2046" t="n">
        <v>0.26</v>
      </c>
    </row>
    <row r="2047" spans="1:13">
      <c r="A2047" s="1">
        <f>HYPERLINK("http://www.twitter.com/NathanBLawrence/status/990822935412719621", "990822935412719621")</f>
        <v/>
      </c>
      <c r="B2047" s="2" t="n">
        <v>43220.22188657407</v>
      </c>
      <c r="C2047" t="n">
        <v>0</v>
      </c>
      <c r="D2047" t="n">
        <v>0</v>
      </c>
      <c r="E2047" t="s">
        <v>2054</v>
      </c>
      <c r="F2047" t="s"/>
      <c r="G2047" t="s"/>
      <c r="H2047" t="s"/>
      <c r="I2047" t="s"/>
      <c r="J2047" t="n">
        <v>-0.5106000000000001</v>
      </c>
      <c r="K2047" t="n">
        <v>0.248</v>
      </c>
      <c r="L2047" t="n">
        <v>0.752</v>
      </c>
      <c r="M2047" t="n">
        <v>0</v>
      </c>
    </row>
    <row r="2048" spans="1:13">
      <c r="A2048" s="1">
        <f>HYPERLINK("http://www.twitter.com/NathanBLawrence/status/990822090390491137", "990822090390491137")</f>
        <v/>
      </c>
      <c r="B2048" s="2" t="n">
        <v>43220.21954861111</v>
      </c>
      <c r="C2048" t="n">
        <v>0</v>
      </c>
      <c r="D2048" t="n">
        <v>1</v>
      </c>
      <c r="E2048" t="s">
        <v>2055</v>
      </c>
      <c r="F2048">
        <f>HYPERLINK("http://pbs.twimg.com/media/Db7xr8wUQAERVDT.jpg", "http://pbs.twimg.com/media/Db7xr8wUQAERVDT.jpg")</f>
        <v/>
      </c>
      <c r="G2048" t="s"/>
      <c r="H2048" t="s"/>
      <c r="I2048" t="s"/>
      <c r="J2048" t="n">
        <v>0</v>
      </c>
      <c r="K2048" t="n">
        <v>0</v>
      </c>
      <c r="L2048" t="n">
        <v>1</v>
      </c>
      <c r="M2048" t="n">
        <v>0</v>
      </c>
    </row>
    <row r="2049" spans="1:13">
      <c r="A2049" s="1">
        <f>HYPERLINK("http://www.twitter.com/NathanBLawrence/status/990821007467278338", "990821007467278338")</f>
        <v/>
      </c>
      <c r="B2049" s="2" t="n">
        <v>43220.2165625</v>
      </c>
      <c r="C2049" t="n">
        <v>0</v>
      </c>
      <c r="D2049" t="n">
        <v>951</v>
      </c>
      <c r="E2049" t="s">
        <v>2056</v>
      </c>
      <c r="F2049" t="s"/>
      <c r="G2049" t="s"/>
      <c r="H2049" t="s"/>
      <c r="I2049" t="s"/>
      <c r="J2049" t="n">
        <v>0.0258</v>
      </c>
      <c r="K2049" t="n">
        <v>0.191</v>
      </c>
      <c r="L2049" t="n">
        <v>0.609</v>
      </c>
      <c r="M2049" t="n">
        <v>0.2</v>
      </c>
    </row>
    <row r="2050" spans="1:13">
      <c r="A2050" s="1">
        <f>HYPERLINK("http://www.twitter.com/NathanBLawrence/status/990820942682116096", "990820942682116096")</f>
        <v/>
      </c>
      <c r="B2050" s="2" t="n">
        <v>43220.21637731481</v>
      </c>
      <c r="C2050" t="n">
        <v>0</v>
      </c>
      <c r="D2050" t="n">
        <v>553</v>
      </c>
      <c r="E2050" t="s">
        <v>2057</v>
      </c>
      <c r="F2050" t="s"/>
      <c r="G2050" t="s"/>
      <c r="H2050" t="s"/>
      <c r="I2050" t="s"/>
      <c r="J2050" t="n">
        <v>0</v>
      </c>
      <c r="K2050" t="n">
        <v>0</v>
      </c>
      <c r="L2050" t="n">
        <v>1</v>
      </c>
      <c r="M2050" t="n">
        <v>0</v>
      </c>
    </row>
    <row r="2051" spans="1:13">
      <c r="A2051" s="1">
        <f>HYPERLINK("http://www.twitter.com/NathanBLawrence/status/990820671042170880", "990820671042170880")</f>
        <v/>
      </c>
      <c r="B2051" s="2" t="n">
        <v>43220.21563657407</v>
      </c>
      <c r="C2051" t="n">
        <v>0</v>
      </c>
      <c r="D2051" t="n">
        <v>1686</v>
      </c>
      <c r="E2051" t="s">
        <v>2058</v>
      </c>
      <c r="F2051" t="s"/>
      <c r="G2051" t="s"/>
      <c r="H2051" t="s"/>
      <c r="I2051" t="s"/>
      <c r="J2051" t="n">
        <v>-0.6908</v>
      </c>
      <c r="K2051" t="n">
        <v>0.17</v>
      </c>
      <c r="L2051" t="n">
        <v>0.83</v>
      </c>
      <c r="M2051" t="n">
        <v>0</v>
      </c>
    </row>
    <row r="2052" spans="1:13">
      <c r="A2052" s="1">
        <f>HYPERLINK("http://www.twitter.com/NathanBLawrence/status/990820508089307136", "990820508089307136")</f>
        <v/>
      </c>
      <c r="B2052" s="2" t="n">
        <v>43220.21518518519</v>
      </c>
      <c r="C2052" t="n">
        <v>0</v>
      </c>
      <c r="D2052" t="n">
        <v>3</v>
      </c>
      <c r="E2052" t="s">
        <v>2059</v>
      </c>
      <c r="F2052" t="s"/>
      <c r="G2052" t="s"/>
      <c r="H2052" t="s"/>
      <c r="I2052" t="s"/>
      <c r="J2052" t="n">
        <v>0.4019</v>
      </c>
      <c r="K2052" t="n">
        <v>0.097</v>
      </c>
      <c r="L2052" t="n">
        <v>0.739</v>
      </c>
      <c r="M2052" t="n">
        <v>0.163</v>
      </c>
    </row>
    <row r="2053" spans="1:13">
      <c r="A2053" s="1">
        <f>HYPERLINK("http://www.twitter.com/NathanBLawrence/status/990819826191843328", "990819826191843328")</f>
        <v/>
      </c>
      <c r="B2053" s="2" t="n">
        <v>43220.21329861111</v>
      </c>
      <c r="C2053" t="n">
        <v>0</v>
      </c>
      <c r="D2053" t="n">
        <v>1488</v>
      </c>
      <c r="E2053" t="s">
        <v>2060</v>
      </c>
      <c r="F2053" t="s"/>
      <c r="G2053" t="s"/>
      <c r="H2053" t="s"/>
      <c r="I2053" t="s"/>
      <c r="J2053" t="n">
        <v>0</v>
      </c>
      <c r="K2053" t="n">
        <v>0</v>
      </c>
      <c r="L2053" t="n">
        <v>1</v>
      </c>
      <c r="M2053" t="n">
        <v>0</v>
      </c>
    </row>
    <row r="2054" spans="1:13">
      <c r="A2054" s="1">
        <f>HYPERLINK("http://www.twitter.com/NathanBLawrence/status/990819770885799937", "990819770885799937")</f>
        <v/>
      </c>
      <c r="B2054" s="2" t="n">
        <v>43220.21314814815</v>
      </c>
      <c r="C2054" t="n">
        <v>0</v>
      </c>
      <c r="D2054" t="n">
        <v>4</v>
      </c>
      <c r="E2054" t="s">
        <v>2061</v>
      </c>
      <c r="F2054">
        <f>HYPERLINK("http://pbs.twimg.com/media/DcAWs0vW0AEcmED.jpg", "http://pbs.twimg.com/media/DcAWs0vW0AEcmED.jpg")</f>
        <v/>
      </c>
      <c r="G2054" t="s"/>
      <c r="H2054" t="s"/>
      <c r="I2054" t="s"/>
      <c r="J2054" t="n">
        <v>0</v>
      </c>
      <c r="K2054" t="n">
        <v>0</v>
      </c>
      <c r="L2054" t="n">
        <v>1</v>
      </c>
      <c r="M2054" t="n">
        <v>0</v>
      </c>
    </row>
    <row r="2055" spans="1:13">
      <c r="A2055" s="1">
        <f>HYPERLINK("http://www.twitter.com/NathanBLawrence/status/990819662836285440", "990819662836285440")</f>
        <v/>
      </c>
      <c r="B2055" s="2" t="n">
        <v>43220.21284722222</v>
      </c>
      <c r="C2055" t="n">
        <v>0</v>
      </c>
      <c r="D2055" t="n">
        <v>543</v>
      </c>
      <c r="E2055" t="s">
        <v>2062</v>
      </c>
      <c r="F2055" t="s"/>
      <c r="G2055" t="s"/>
      <c r="H2055" t="s"/>
      <c r="I2055" t="s"/>
      <c r="J2055" t="n">
        <v>0.5574</v>
      </c>
      <c r="K2055" t="n">
        <v>0</v>
      </c>
      <c r="L2055" t="n">
        <v>0.8159999999999999</v>
      </c>
      <c r="M2055" t="n">
        <v>0.184</v>
      </c>
    </row>
    <row r="2056" spans="1:13">
      <c r="A2056" s="1">
        <f>HYPERLINK("http://www.twitter.com/NathanBLawrence/status/990819588437786624", "990819588437786624")</f>
        <v/>
      </c>
      <c r="B2056" s="2" t="n">
        <v>43220.21265046296</v>
      </c>
      <c r="C2056" t="n">
        <v>0</v>
      </c>
      <c r="D2056" t="n">
        <v>8</v>
      </c>
      <c r="E2056" t="s">
        <v>2063</v>
      </c>
      <c r="F2056">
        <f>HYPERLINK("http://pbs.twimg.com/media/DcAKCUOVAAA9HJJ.jpg", "http://pbs.twimg.com/media/DcAKCUOVAAA9HJJ.jpg")</f>
        <v/>
      </c>
      <c r="G2056">
        <f>HYPERLINK("http://pbs.twimg.com/media/DcAKCUPVQAAnS8C.jpg", "http://pbs.twimg.com/media/DcAKCUPVQAAnS8C.jpg")</f>
        <v/>
      </c>
      <c r="H2056" t="s"/>
      <c r="I2056" t="s"/>
      <c r="J2056" t="n">
        <v>0</v>
      </c>
      <c r="K2056" t="n">
        <v>0</v>
      </c>
      <c r="L2056" t="n">
        <v>1</v>
      </c>
      <c r="M2056" t="n">
        <v>0</v>
      </c>
    </row>
    <row r="2057" spans="1:13">
      <c r="A2057" s="1">
        <f>HYPERLINK("http://www.twitter.com/NathanBLawrence/status/990819470741356545", "990819470741356545")</f>
        <v/>
      </c>
      <c r="B2057" s="2" t="n">
        <v>43220.21232638889</v>
      </c>
      <c r="C2057" t="n">
        <v>0</v>
      </c>
      <c r="D2057" t="n">
        <v>77</v>
      </c>
      <c r="E2057" t="s">
        <v>2064</v>
      </c>
      <c r="F2057">
        <f>HYPERLINK("http://pbs.twimg.com/media/DcAOlNdVAAAEiki.jpg", "http://pbs.twimg.com/media/DcAOlNdVAAAEiki.jpg")</f>
        <v/>
      </c>
      <c r="G2057">
        <f>HYPERLINK("http://pbs.twimg.com/media/DcAOlNcV4AA5j6N.jpg", "http://pbs.twimg.com/media/DcAOlNcV4AA5j6N.jpg")</f>
        <v/>
      </c>
      <c r="H2057">
        <f>HYPERLINK("http://pbs.twimg.com/media/DcAOlNvV4AA_ZAb.jpg", "http://pbs.twimg.com/media/DcAOlNvV4AA_ZAb.jpg")</f>
        <v/>
      </c>
      <c r="I2057" t="s"/>
      <c r="J2057" t="n">
        <v>0</v>
      </c>
      <c r="K2057" t="n">
        <v>0</v>
      </c>
      <c r="L2057" t="n">
        <v>1</v>
      </c>
      <c r="M2057" t="n">
        <v>0</v>
      </c>
    </row>
    <row r="2058" spans="1:13">
      <c r="A2058" s="1">
        <f>HYPERLINK("http://www.twitter.com/NathanBLawrence/status/990819229669646336", "990819229669646336")</f>
        <v/>
      </c>
      <c r="B2058" s="2" t="n">
        <v>43220.21165509259</v>
      </c>
      <c r="C2058" t="n">
        <v>0</v>
      </c>
      <c r="D2058" t="n">
        <v>153</v>
      </c>
      <c r="E2058" t="s">
        <v>2065</v>
      </c>
      <c r="F2058">
        <f>HYPERLINK("https://video.twimg.com/amplify_video/990061489238216707/vid/1280x720/cRA1FohLEujO5G2t.mp4?tag=2", "https://video.twimg.com/amplify_video/990061489238216707/vid/1280x720/cRA1FohLEujO5G2t.mp4?tag=2")</f>
        <v/>
      </c>
      <c r="G2058" t="s"/>
      <c r="H2058" t="s"/>
      <c r="I2058" t="s"/>
      <c r="J2058" t="n">
        <v>0</v>
      </c>
      <c r="K2058" t="n">
        <v>0</v>
      </c>
      <c r="L2058" t="n">
        <v>1</v>
      </c>
      <c r="M2058" t="n">
        <v>0</v>
      </c>
    </row>
    <row r="2059" spans="1:13">
      <c r="A2059" s="1">
        <f>HYPERLINK("http://www.twitter.com/NathanBLawrence/status/990819143845793793", "990819143845793793")</f>
        <v/>
      </c>
      <c r="B2059" s="2" t="n">
        <v>43220.21142361111</v>
      </c>
      <c r="C2059" t="n">
        <v>0</v>
      </c>
      <c r="D2059" t="n">
        <v>110</v>
      </c>
      <c r="E2059" t="s">
        <v>2066</v>
      </c>
      <c r="F2059" t="s"/>
      <c r="G2059" t="s"/>
      <c r="H2059" t="s"/>
      <c r="I2059" t="s"/>
      <c r="J2059" t="n">
        <v>0</v>
      </c>
      <c r="K2059" t="n">
        <v>0</v>
      </c>
      <c r="L2059" t="n">
        <v>1</v>
      </c>
      <c r="M2059" t="n">
        <v>0</v>
      </c>
    </row>
    <row r="2060" spans="1:13">
      <c r="A2060" s="1">
        <f>HYPERLINK("http://www.twitter.com/NathanBLawrence/status/990819099692302337", "990819099692302337")</f>
        <v/>
      </c>
      <c r="B2060" s="2" t="n">
        <v>43220.21129629629</v>
      </c>
      <c r="C2060" t="n">
        <v>0</v>
      </c>
      <c r="D2060" t="n">
        <v>1462</v>
      </c>
      <c r="E2060" t="s">
        <v>2067</v>
      </c>
      <c r="F2060" t="s"/>
      <c r="G2060" t="s"/>
      <c r="H2060" t="s"/>
      <c r="I2060" t="s"/>
      <c r="J2060" t="n">
        <v>0.2263</v>
      </c>
      <c r="K2060" t="n">
        <v>0.202</v>
      </c>
      <c r="L2060" t="n">
        <v>0.505</v>
      </c>
      <c r="M2060" t="n">
        <v>0.293</v>
      </c>
    </row>
    <row r="2061" spans="1:13">
      <c r="A2061" s="1">
        <f>HYPERLINK("http://www.twitter.com/NathanBLawrence/status/990818563962191877", "990818563962191877")</f>
        <v/>
      </c>
      <c r="B2061" s="2" t="n">
        <v>43220.20981481481</v>
      </c>
      <c r="C2061" t="n">
        <v>0</v>
      </c>
      <c r="D2061" t="n">
        <v>118</v>
      </c>
      <c r="E2061" t="s">
        <v>2068</v>
      </c>
      <c r="F2061" t="s"/>
      <c r="G2061" t="s"/>
      <c r="H2061" t="s"/>
      <c r="I2061" t="s"/>
      <c r="J2061" t="n">
        <v>0.4939</v>
      </c>
      <c r="K2061" t="n">
        <v>0</v>
      </c>
      <c r="L2061" t="n">
        <v>0.781</v>
      </c>
      <c r="M2061" t="n">
        <v>0.219</v>
      </c>
    </row>
    <row r="2062" spans="1:13">
      <c r="A2062" s="1">
        <f>HYPERLINK("http://www.twitter.com/NathanBLawrence/status/990818367387848704", "990818367387848704")</f>
        <v/>
      </c>
      <c r="B2062" s="2" t="n">
        <v>43220.20927083334</v>
      </c>
      <c r="C2062" t="n">
        <v>0</v>
      </c>
      <c r="D2062" t="n">
        <v>407</v>
      </c>
      <c r="E2062" t="s">
        <v>2069</v>
      </c>
      <c r="F2062" t="s"/>
      <c r="G2062" t="s"/>
      <c r="H2062" t="s"/>
      <c r="I2062" t="s"/>
      <c r="J2062" t="n">
        <v>0.128</v>
      </c>
      <c r="K2062" t="n">
        <v>0</v>
      </c>
      <c r="L2062" t="n">
        <v>0.9330000000000001</v>
      </c>
      <c r="M2062" t="n">
        <v>0.067</v>
      </c>
    </row>
    <row r="2063" spans="1:13">
      <c r="A2063" s="1">
        <f>HYPERLINK("http://www.twitter.com/NathanBLawrence/status/990818115926740992", "990818115926740992")</f>
        <v/>
      </c>
      <c r="B2063" s="2" t="n">
        <v>43220.20858796296</v>
      </c>
      <c r="C2063" t="n">
        <v>0</v>
      </c>
      <c r="D2063" t="n">
        <v>115</v>
      </c>
      <c r="E2063" t="s">
        <v>2070</v>
      </c>
      <c r="F2063">
        <f>HYPERLINK("https://video.twimg.com/amplify_video/990061489238216707/vid/1280x720/cRA1FohLEujO5G2t.mp4?tag=2", "https://video.twimg.com/amplify_video/990061489238216707/vid/1280x720/cRA1FohLEujO5G2t.mp4?tag=2")</f>
        <v/>
      </c>
      <c r="G2063" t="s"/>
      <c r="H2063" t="s"/>
      <c r="I2063" t="s"/>
      <c r="J2063" t="n">
        <v>0.8591</v>
      </c>
      <c r="K2063" t="n">
        <v>0</v>
      </c>
      <c r="L2063" t="n">
        <v>0.656</v>
      </c>
      <c r="M2063" t="n">
        <v>0.344</v>
      </c>
    </row>
    <row r="2064" spans="1:13">
      <c r="A2064" s="1">
        <f>HYPERLINK("http://www.twitter.com/NathanBLawrence/status/990817925429805056", "990817925429805056")</f>
        <v/>
      </c>
      <c r="B2064" s="2" t="n">
        <v>43220.20805555556</v>
      </c>
      <c r="C2064" t="n">
        <v>0</v>
      </c>
      <c r="D2064" t="n">
        <v>2495</v>
      </c>
      <c r="E2064" t="s">
        <v>2071</v>
      </c>
      <c r="F2064" t="s"/>
      <c r="G2064" t="s"/>
      <c r="H2064" t="s"/>
      <c r="I2064" t="s"/>
      <c r="J2064" t="n">
        <v>0</v>
      </c>
      <c r="K2064" t="n">
        <v>0</v>
      </c>
      <c r="L2064" t="n">
        <v>1</v>
      </c>
      <c r="M2064" t="n">
        <v>0</v>
      </c>
    </row>
    <row r="2065" spans="1:13">
      <c r="A2065" s="1">
        <f>HYPERLINK("http://www.twitter.com/NathanBLawrence/status/990817809268588544", "990817809268588544")</f>
        <v/>
      </c>
      <c r="B2065" s="2" t="n">
        <v>43220.20773148148</v>
      </c>
      <c r="C2065" t="n">
        <v>0</v>
      </c>
      <c r="D2065" t="n">
        <v>112</v>
      </c>
      <c r="E2065" t="s">
        <v>2072</v>
      </c>
      <c r="F2065" t="s"/>
      <c r="G2065" t="s"/>
      <c r="H2065" t="s"/>
      <c r="I2065" t="s"/>
      <c r="J2065" t="n">
        <v>0.4404</v>
      </c>
      <c r="K2065" t="n">
        <v>0</v>
      </c>
      <c r="L2065" t="n">
        <v>0.861</v>
      </c>
      <c r="M2065" t="n">
        <v>0.139</v>
      </c>
    </row>
    <row r="2066" spans="1:13">
      <c r="A2066" s="1">
        <f>HYPERLINK("http://www.twitter.com/NathanBLawrence/status/990817793569275904", "990817793569275904")</f>
        <v/>
      </c>
      <c r="B2066" s="2" t="n">
        <v>43220.20769675926</v>
      </c>
      <c r="C2066" t="n">
        <v>0</v>
      </c>
      <c r="D2066" t="n">
        <v>1042</v>
      </c>
      <c r="E2066" t="s">
        <v>2073</v>
      </c>
      <c r="F2066" t="s"/>
      <c r="G2066" t="s"/>
      <c r="H2066" t="s"/>
      <c r="I2066" t="s"/>
      <c r="J2066" t="n">
        <v>-0.4019</v>
      </c>
      <c r="K2066" t="n">
        <v>0.097</v>
      </c>
      <c r="L2066" t="n">
        <v>0.903</v>
      </c>
      <c r="M2066" t="n">
        <v>0</v>
      </c>
    </row>
    <row r="2067" spans="1:13">
      <c r="A2067" s="1">
        <f>HYPERLINK("http://www.twitter.com/NathanBLawrence/status/990817631660720131", "990817631660720131")</f>
        <v/>
      </c>
      <c r="B2067" s="2" t="n">
        <v>43220.20724537037</v>
      </c>
      <c r="C2067" t="n">
        <v>0</v>
      </c>
      <c r="D2067" t="n">
        <v>7835</v>
      </c>
      <c r="E2067" t="s">
        <v>2074</v>
      </c>
      <c r="F2067" t="s"/>
      <c r="G2067" t="s"/>
      <c r="H2067" t="s"/>
      <c r="I2067" t="s"/>
      <c r="J2067" t="n">
        <v>-0.1027</v>
      </c>
      <c r="K2067" t="n">
        <v>0.06900000000000001</v>
      </c>
      <c r="L2067" t="n">
        <v>0.931</v>
      </c>
      <c r="M2067" t="n">
        <v>0</v>
      </c>
    </row>
    <row r="2068" spans="1:13">
      <c r="A2068" s="1">
        <f>HYPERLINK("http://www.twitter.com/NathanBLawrence/status/990816729679843328", "990816729679843328")</f>
        <v/>
      </c>
      <c r="B2068" s="2" t="n">
        <v>43220.20475694445</v>
      </c>
      <c r="C2068" t="n">
        <v>0</v>
      </c>
      <c r="D2068" t="n">
        <v>1</v>
      </c>
      <c r="E2068" t="s">
        <v>2075</v>
      </c>
      <c r="F2068" t="s"/>
      <c r="G2068" t="s"/>
      <c r="H2068" t="s"/>
      <c r="I2068" t="s"/>
      <c r="J2068" t="n">
        <v>0.4404</v>
      </c>
      <c r="K2068" t="n">
        <v>0</v>
      </c>
      <c r="L2068" t="n">
        <v>0.854</v>
      </c>
      <c r="M2068" t="n">
        <v>0.146</v>
      </c>
    </row>
    <row r="2069" spans="1:13">
      <c r="A2069" s="1">
        <f>HYPERLINK("http://www.twitter.com/NathanBLawrence/status/990815820170182656", "990815820170182656")</f>
        <v/>
      </c>
      <c r="B2069" s="2" t="n">
        <v>43220.20224537037</v>
      </c>
      <c r="C2069" t="n">
        <v>0</v>
      </c>
      <c r="D2069" t="n">
        <v>0</v>
      </c>
      <c r="E2069" t="s">
        <v>2076</v>
      </c>
      <c r="F2069" t="s"/>
      <c r="G2069" t="s"/>
      <c r="H2069" t="s"/>
      <c r="I2069" t="s"/>
      <c r="J2069" t="n">
        <v>0</v>
      </c>
      <c r="K2069" t="n">
        <v>0</v>
      </c>
      <c r="L2069" t="n">
        <v>1</v>
      </c>
      <c r="M2069" t="n">
        <v>0</v>
      </c>
    </row>
    <row r="2070" spans="1:13">
      <c r="A2070" s="1">
        <f>HYPERLINK("http://www.twitter.com/NathanBLawrence/status/990815258385072129", "990815258385072129")</f>
        <v/>
      </c>
      <c r="B2070" s="2" t="n">
        <v>43220.20069444444</v>
      </c>
      <c r="C2070" t="n">
        <v>0</v>
      </c>
      <c r="D2070" t="n">
        <v>1</v>
      </c>
      <c r="E2070" t="s">
        <v>2077</v>
      </c>
      <c r="F2070" t="s"/>
      <c r="G2070" t="s"/>
      <c r="H2070" t="s"/>
      <c r="I2070" t="s"/>
      <c r="J2070" t="n">
        <v>0.4199</v>
      </c>
      <c r="K2070" t="n">
        <v>0</v>
      </c>
      <c r="L2070" t="n">
        <v>0.872</v>
      </c>
      <c r="M2070" t="n">
        <v>0.128</v>
      </c>
    </row>
    <row r="2071" spans="1:13">
      <c r="A2071" s="1">
        <f>HYPERLINK("http://www.twitter.com/NathanBLawrence/status/990812437824745472", "990812437824745472")</f>
        <v/>
      </c>
      <c r="B2071" s="2" t="n">
        <v>43220.19291666667</v>
      </c>
      <c r="C2071" t="n">
        <v>0</v>
      </c>
      <c r="D2071" t="n">
        <v>1</v>
      </c>
      <c r="E2071" t="s">
        <v>2078</v>
      </c>
      <c r="F2071" t="s"/>
      <c r="G2071" t="s"/>
      <c r="H2071" t="s"/>
      <c r="I2071" t="s"/>
      <c r="J2071" t="n">
        <v>0</v>
      </c>
      <c r="K2071" t="n">
        <v>0</v>
      </c>
      <c r="L2071" t="n">
        <v>1</v>
      </c>
      <c r="M2071" t="n">
        <v>0</v>
      </c>
    </row>
    <row r="2072" spans="1:13">
      <c r="A2072" s="1">
        <f>HYPERLINK("http://www.twitter.com/NathanBLawrence/status/990811921862438914", "990811921862438914")</f>
        <v/>
      </c>
      <c r="B2072" s="2" t="n">
        <v>43220.19149305556</v>
      </c>
      <c r="C2072" t="n">
        <v>0</v>
      </c>
      <c r="D2072" t="n">
        <v>1</v>
      </c>
      <c r="E2072" t="s">
        <v>2079</v>
      </c>
      <c r="F2072" t="s"/>
      <c r="G2072" t="s"/>
      <c r="H2072" t="s"/>
      <c r="I2072" t="s"/>
      <c r="J2072" t="n">
        <v>0.5655</v>
      </c>
      <c r="K2072" t="n">
        <v>0</v>
      </c>
      <c r="L2072" t="n">
        <v>0.839</v>
      </c>
      <c r="M2072" t="n">
        <v>0.161</v>
      </c>
    </row>
    <row r="2073" spans="1:13">
      <c r="A2073" s="1">
        <f>HYPERLINK("http://www.twitter.com/NathanBLawrence/status/990810845729902593", "990810845729902593")</f>
        <v/>
      </c>
      <c r="B2073" s="2" t="n">
        <v>43220.18851851852</v>
      </c>
      <c r="C2073" t="n">
        <v>0</v>
      </c>
      <c r="D2073" t="n">
        <v>3</v>
      </c>
      <c r="E2073" t="s">
        <v>2080</v>
      </c>
      <c r="F2073" t="s"/>
      <c r="G2073" t="s"/>
      <c r="H2073" t="s"/>
      <c r="I2073" t="s"/>
      <c r="J2073" t="n">
        <v>0.2732</v>
      </c>
      <c r="K2073" t="n">
        <v>0</v>
      </c>
      <c r="L2073" t="n">
        <v>0.8110000000000001</v>
      </c>
      <c r="M2073" t="n">
        <v>0.189</v>
      </c>
    </row>
    <row r="2074" spans="1:13">
      <c r="A2074" s="1">
        <f>HYPERLINK("http://www.twitter.com/NathanBLawrence/status/990809606866722816", "990809606866722816")</f>
        <v/>
      </c>
      <c r="B2074" s="2" t="n">
        <v>43220.18510416667</v>
      </c>
      <c r="C2074" t="n">
        <v>1</v>
      </c>
      <c r="D2074" t="n">
        <v>0</v>
      </c>
      <c r="E2074" t="s">
        <v>2081</v>
      </c>
      <c r="F2074" t="s"/>
      <c r="G2074" t="s"/>
      <c r="H2074" t="s"/>
      <c r="I2074" t="s"/>
      <c r="J2074" t="n">
        <v>-0.34</v>
      </c>
      <c r="K2074" t="n">
        <v>0.231</v>
      </c>
      <c r="L2074" t="n">
        <v>0.769</v>
      </c>
      <c r="M2074" t="n">
        <v>0</v>
      </c>
    </row>
    <row r="2075" spans="1:13">
      <c r="A2075" s="1">
        <f>HYPERLINK("http://www.twitter.com/NathanBLawrence/status/990807890293178368", "990807890293178368")</f>
        <v/>
      </c>
      <c r="B2075" s="2" t="n">
        <v>43220.18037037037</v>
      </c>
      <c r="C2075" t="n">
        <v>0</v>
      </c>
      <c r="D2075" t="n">
        <v>2</v>
      </c>
      <c r="E2075" t="s">
        <v>2082</v>
      </c>
      <c r="F2075" t="s"/>
      <c r="G2075" t="s"/>
      <c r="H2075" t="s"/>
      <c r="I2075" t="s"/>
      <c r="J2075" t="n">
        <v>0</v>
      </c>
      <c r="K2075" t="n">
        <v>0</v>
      </c>
      <c r="L2075" t="n">
        <v>1</v>
      </c>
      <c r="M2075" t="n">
        <v>0</v>
      </c>
    </row>
    <row r="2076" spans="1:13">
      <c r="A2076" s="1">
        <f>HYPERLINK("http://www.twitter.com/NathanBLawrence/status/990804638889734144", "990804638889734144")</f>
        <v/>
      </c>
      <c r="B2076" s="2" t="n">
        <v>43220.17138888889</v>
      </c>
      <c r="C2076" t="n">
        <v>0</v>
      </c>
      <c r="D2076" t="n">
        <v>13758</v>
      </c>
      <c r="E2076" t="s">
        <v>2083</v>
      </c>
      <c r="F2076" t="s"/>
      <c r="G2076" t="s"/>
      <c r="H2076" t="s"/>
      <c r="I2076" t="s"/>
      <c r="J2076" t="n">
        <v>0</v>
      </c>
      <c r="K2076" t="n">
        <v>0</v>
      </c>
      <c r="L2076" t="n">
        <v>1</v>
      </c>
      <c r="M2076" t="n">
        <v>0</v>
      </c>
    </row>
    <row r="2077" spans="1:13">
      <c r="A2077" s="1">
        <f>HYPERLINK("http://www.twitter.com/NathanBLawrence/status/990803493484019712", "990803493484019712")</f>
        <v/>
      </c>
      <c r="B2077" s="2" t="n">
        <v>43220.16822916667</v>
      </c>
      <c r="C2077" t="n">
        <v>0</v>
      </c>
      <c r="D2077" t="n">
        <v>88</v>
      </c>
      <c r="E2077" t="s">
        <v>2084</v>
      </c>
      <c r="F2077" t="s"/>
      <c r="G2077" t="s"/>
      <c r="H2077" t="s"/>
      <c r="I2077" t="s"/>
      <c r="J2077" t="n">
        <v>-0.25</v>
      </c>
      <c r="K2077" t="n">
        <v>0.185</v>
      </c>
      <c r="L2077" t="n">
        <v>0.63</v>
      </c>
      <c r="M2077" t="n">
        <v>0.185</v>
      </c>
    </row>
    <row r="2078" spans="1:13">
      <c r="A2078" s="1">
        <f>HYPERLINK("http://www.twitter.com/NathanBLawrence/status/990803391684235264", "990803391684235264")</f>
        <v/>
      </c>
      <c r="B2078" s="2" t="n">
        <v>43220.16795138889</v>
      </c>
      <c r="C2078" t="n">
        <v>0</v>
      </c>
      <c r="D2078" t="n">
        <v>102</v>
      </c>
      <c r="E2078" t="s">
        <v>2085</v>
      </c>
      <c r="F2078" t="s"/>
      <c r="G2078" t="s"/>
      <c r="H2078" t="s"/>
      <c r="I2078" t="s"/>
      <c r="J2078" t="n">
        <v>0.6696</v>
      </c>
      <c r="K2078" t="n">
        <v>0</v>
      </c>
      <c r="L2078" t="n">
        <v>0.791</v>
      </c>
      <c r="M2078" t="n">
        <v>0.209</v>
      </c>
    </row>
    <row r="2079" spans="1:13">
      <c r="A2079" s="1">
        <f>HYPERLINK("http://www.twitter.com/NathanBLawrence/status/990802497584349184", "990802497584349184")</f>
        <v/>
      </c>
      <c r="B2079" s="2" t="n">
        <v>43220.16548611111</v>
      </c>
      <c r="C2079" t="n">
        <v>0</v>
      </c>
      <c r="D2079" t="n">
        <v>1</v>
      </c>
      <c r="E2079" t="s">
        <v>2086</v>
      </c>
      <c r="F2079">
        <f>HYPERLINK("http://pbs.twimg.com/media/DcAILeYU0AAwon4.jpg", "http://pbs.twimg.com/media/DcAILeYU0AAwon4.jpg")</f>
        <v/>
      </c>
      <c r="G2079">
        <f>HYPERLINK("http://pbs.twimg.com/media/DcAJiYFV0AE-Rzq.jpg", "http://pbs.twimg.com/media/DcAJiYFV0AE-Rzq.jpg")</f>
        <v/>
      </c>
      <c r="H2079" t="s"/>
      <c r="I2079" t="s"/>
      <c r="J2079" t="n">
        <v>0.128</v>
      </c>
      <c r="K2079" t="n">
        <v>0.123</v>
      </c>
      <c r="L2079" t="n">
        <v>0.733</v>
      </c>
      <c r="M2079" t="n">
        <v>0.144</v>
      </c>
    </row>
    <row r="2080" spans="1:13">
      <c r="A2080" s="1">
        <f>HYPERLINK("http://www.twitter.com/NathanBLawrence/status/990802468761096193", "990802468761096193")</f>
        <v/>
      </c>
      <c r="B2080" s="2" t="n">
        <v>43220.16540509259</v>
      </c>
      <c r="C2080" t="n">
        <v>7</v>
      </c>
      <c r="D2080" t="n">
        <v>1</v>
      </c>
      <c r="E2080" t="s">
        <v>2087</v>
      </c>
      <c r="F2080">
        <f>HYPERLINK("http://pbs.twimg.com/media/DcAILeYU0AAwon4.jpg", "http://pbs.twimg.com/media/DcAILeYU0AAwon4.jpg")</f>
        <v/>
      </c>
      <c r="G2080">
        <f>HYPERLINK("http://pbs.twimg.com/media/DcAJiYFV0AE-Rzq.jpg", "http://pbs.twimg.com/media/DcAJiYFV0AE-Rzq.jpg")</f>
        <v/>
      </c>
      <c r="H2080" t="s"/>
      <c r="I2080" t="s"/>
      <c r="J2080" t="n">
        <v>0.368</v>
      </c>
      <c r="K2080" t="n">
        <v>0.168</v>
      </c>
      <c r="L2080" t="n">
        <v>0.624</v>
      </c>
      <c r="M2080" t="n">
        <v>0.208</v>
      </c>
    </row>
    <row r="2081" spans="1:13">
      <c r="A2081" s="1">
        <f>HYPERLINK("http://www.twitter.com/NathanBLawrence/status/990797886081323008", "990797886081323008")</f>
        <v/>
      </c>
      <c r="B2081" s="2" t="n">
        <v>43220.15275462963</v>
      </c>
      <c r="C2081" t="n">
        <v>0</v>
      </c>
      <c r="D2081" t="n">
        <v>374</v>
      </c>
      <c r="E2081" t="s">
        <v>2088</v>
      </c>
      <c r="F2081">
        <f>HYPERLINK("http://pbs.twimg.com/media/Db-UhqhXkAIf7i7.jpg", "http://pbs.twimg.com/media/Db-UhqhXkAIf7i7.jpg")</f>
        <v/>
      </c>
      <c r="G2081" t="s"/>
      <c r="H2081" t="s"/>
      <c r="I2081" t="s"/>
      <c r="J2081" t="n">
        <v>0.6166</v>
      </c>
      <c r="K2081" t="n">
        <v>0</v>
      </c>
      <c r="L2081" t="n">
        <v>0.856</v>
      </c>
      <c r="M2081" t="n">
        <v>0.144</v>
      </c>
    </row>
    <row r="2082" spans="1:13">
      <c r="A2082" s="1">
        <f>HYPERLINK("http://www.twitter.com/NathanBLawrence/status/990797729981857792", "990797729981857792")</f>
        <v/>
      </c>
      <c r="B2082" s="2" t="n">
        <v>43220.15232638889</v>
      </c>
      <c r="C2082" t="n">
        <v>0</v>
      </c>
      <c r="D2082" t="n">
        <v>1182</v>
      </c>
      <c r="E2082" t="s">
        <v>2089</v>
      </c>
      <c r="F2082" t="s"/>
      <c r="G2082" t="s"/>
      <c r="H2082" t="s"/>
      <c r="I2082" t="s"/>
      <c r="J2082" t="n">
        <v>-0.5187</v>
      </c>
      <c r="K2082" t="n">
        <v>0.229</v>
      </c>
      <c r="L2082" t="n">
        <v>0.771</v>
      </c>
      <c r="M2082" t="n">
        <v>0</v>
      </c>
    </row>
    <row r="2083" spans="1:13">
      <c r="A2083" s="1">
        <f>HYPERLINK("http://www.twitter.com/NathanBLawrence/status/990797510812647424", "990797510812647424")</f>
        <v/>
      </c>
      <c r="B2083" s="2" t="n">
        <v>43220.15172453703</v>
      </c>
      <c r="C2083" t="n">
        <v>0</v>
      </c>
      <c r="D2083" t="n">
        <v>459</v>
      </c>
      <c r="E2083" t="s">
        <v>2090</v>
      </c>
      <c r="F2083" t="s"/>
      <c r="G2083" t="s"/>
      <c r="H2083" t="s"/>
      <c r="I2083" t="s"/>
      <c r="J2083" t="n">
        <v>0.25</v>
      </c>
      <c r="K2083" t="n">
        <v>0</v>
      </c>
      <c r="L2083" t="n">
        <v>0.917</v>
      </c>
      <c r="M2083" t="n">
        <v>0.083</v>
      </c>
    </row>
    <row r="2084" spans="1:13">
      <c r="A2084" s="1">
        <f>HYPERLINK("http://www.twitter.com/NathanBLawrence/status/990797409541177345", "990797409541177345")</f>
        <v/>
      </c>
      <c r="B2084" s="2" t="n">
        <v>43220.15144675926</v>
      </c>
      <c r="C2084" t="n">
        <v>0</v>
      </c>
      <c r="D2084" t="n">
        <v>834</v>
      </c>
      <c r="E2084" t="s">
        <v>2091</v>
      </c>
      <c r="F2084">
        <f>HYPERLINK("https://video.twimg.com/ext_tw_video/990584194739908614/pu/vid/1280x720/_n31zuCr-We0jtKF.mp4?tag=3", "https://video.twimg.com/ext_tw_video/990584194739908614/pu/vid/1280x720/_n31zuCr-We0jtKF.mp4?tag=3")</f>
        <v/>
      </c>
      <c r="G2084" t="s"/>
      <c r="H2084" t="s"/>
      <c r="I2084" t="s"/>
      <c r="J2084" t="n">
        <v>-0.8643999999999999</v>
      </c>
      <c r="K2084" t="n">
        <v>0.325</v>
      </c>
      <c r="L2084" t="n">
        <v>0.675</v>
      </c>
      <c r="M2084" t="n">
        <v>0</v>
      </c>
    </row>
    <row r="2085" spans="1:13">
      <c r="A2085" s="1">
        <f>HYPERLINK("http://www.twitter.com/NathanBLawrence/status/990797183547944960", "990797183547944960")</f>
        <v/>
      </c>
      <c r="B2085" s="2" t="n">
        <v>43220.15082175926</v>
      </c>
      <c r="C2085" t="n">
        <v>0</v>
      </c>
      <c r="D2085" t="n">
        <v>4362</v>
      </c>
      <c r="E2085" t="s">
        <v>2092</v>
      </c>
      <c r="F2085" t="s"/>
      <c r="G2085" t="s"/>
      <c r="H2085" t="s"/>
      <c r="I2085" t="s"/>
      <c r="J2085" t="n">
        <v>-0.5266999999999999</v>
      </c>
      <c r="K2085" t="n">
        <v>0.298</v>
      </c>
      <c r="L2085" t="n">
        <v>0.702</v>
      </c>
      <c r="M2085" t="n">
        <v>0</v>
      </c>
    </row>
    <row r="2086" spans="1:13">
      <c r="A2086" s="1">
        <f>HYPERLINK("http://www.twitter.com/NathanBLawrence/status/990797069446082561", "990797069446082561")</f>
        <v/>
      </c>
      <c r="B2086" s="2" t="n">
        <v>43220.15050925926</v>
      </c>
      <c r="C2086" t="n">
        <v>0</v>
      </c>
      <c r="D2086" t="n">
        <v>473</v>
      </c>
      <c r="E2086" t="s">
        <v>2093</v>
      </c>
      <c r="F2086" t="s"/>
      <c r="G2086" t="s"/>
      <c r="H2086" t="s"/>
      <c r="I2086" t="s"/>
      <c r="J2086" t="n">
        <v>-0.2023</v>
      </c>
      <c r="K2086" t="n">
        <v>0.119</v>
      </c>
      <c r="L2086" t="n">
        <v>0.791</v>
      </c>
      <c r="M2086" t="n">
        <v>0.09</v>
      </c>
    </row>
    <row r="2087" spans="1:13">
      <c r="A2087" s="1">
        <f>HYPERLINK("http://www.twitter.com/NathanBLawrence/status/990796678893457408", "990796678893457408")</f>
        <v/>
      </c>
      <c r="B2087" s="2" t="n">
        <v>43220.14943287037</v>
      </c>
      <c r="C2087" t="n">
        <v>0</v>
      </c>
      <c r="D2087" t="n">
        <v>2</v>
      </c>
      <c r="E2087" t="s">
        <v>2094</v>
      </c>
      <c r="F2087">
        <f>HYPERLINK("http://pbs.twimg.com/media/DcAC8VQVwAI2COX.jpg", "http://pbs.twimg.com/media/DcAC8VQVwAI2COX.jpg")</f>
        <v/>
      </c>
      <c r="G2087">
        <f>HYPERLINK("http://pbs.twimg.com/media/DcADqkBV0AEvsV9.jpg", "http://pbs.twimg.com/media/DcADqkBV0AEvsV9.jpg")</f>
        <v/>
      </c>
      <c r="H2087">
        <f>HYPERLINK("http://pbs.twimg.com/media/DcAD95KVAAAV81g.jpg", "http://pbs.twimg.com/media/DcAD95KVAAAV81g.jpg")</f>
        <v/>
      </c>
      <c r="I2087" t="s"/>
      <c r="J2087" t="n">
        <v>-0.7845</v>
      </c>
      <c r="K2087" t="n">
        <v>0.275</v>
      </c>
      <c r="L2087" t="n">
        <v>0.669</v>
      </c>
      <c r="M2087" t="n">
        <v>0.056</v>
      </c>
    </row>
    <row r="2088" spans="1:13">
      <c r="A2088" s="1">
        <f>HYPERLINK("http://www.twitter.com/NathanBLawrence/status/990796643866853376", "990796643866853376")</f>
        <v/>
      </c>
      <c r="B2088" s="2" t="n">
        <v>43220.1493287037</v>
      </c>
      <c r="C2088" t="n">
        <v>2</v>
      </c>
      <c r="D2088" t="n">
        <v>2</v>
      </c>
      <c r="E2088" t="s">
        <v>2095</v>
      </c>
      <c r="F2088">
        <f>HYPERLINK("http://pbs.twimg.com/media/DcAC8VQVwAI2COX.jpg", "http://pbs.twimg.com/media/DcAC8VQVwAI2COX.jpg")</f>
        <v/>
      </c>
      <c r="G2088">
        <f>HYPERLINK("http://pbs.twimg.com/media/DcADqkBV0AEvsV9.jpg", "http://pbs.twimg.com/media/DcADqkBV0AEvsV9.jpg")</f>
        <v/>
      </c>
      <c r="H2088">
        <f>HYPERLINK("http://pbs.twimg.com/media/DcAD95KVAAAV81g.jpg", "http://pbs.twimg.com/media/DcAD95KVAAAV81g.jpg")</f>
        <v/>
      </c>
      <c r="I2088" t="s"/>
      <c r="J2088" t="n">
        <v>0.4084</v>
      </c>
      <c r="K2088" t="n">
        <v>0.197</v>
      </c>
      <c r="L2088" t="n">
        <v>0.553</v>
      </c>
      <c r="M2088" t="n">
        <v>0.249</v>
      </c>
    </row>
    <row r="2089" spans="1:13">
      <c r="A2089" s="1">
        <f>HYPERLINK("http://www.twitter.com/NathanBLawrence/status/990791524974706688", "990791524974706688")</f>
        <v/>
      </c>
      <c r="B2089" s="2" t="n">
        <v>43220.13520833333</v>
      </c>
      <c r="C2089" t="n">
        <v>1</v>
      </c>
      <c r="D2089" t="n">
        <v>0</v>
      </c>
      <c r="E2089" t="s">
        <v>2096</v>
      </c>
      <c r="F2089" t="s"/>
      <c r="G2089" t="s"/>
      <c r="H2089" t="s"/>
      <c r="I2089" t="s"/>
      <c r="J2089" t="n">
        <v>-0.7845</v>
      </c>
      <c r="K2089" t="n">
        <v>0.182</v>
      </c>
      <c r="L2089" t="n">
        <v>0.8179999999999999</v>
      </c>
      <c r="M2089" t="n">
        <v>0</v>
      </c>
    </row>
    <row r="2090" spans="1:13">
      <c r="A2090" s="1">
        <f>HYPERLINK("http://www.twitter.com/NathanBLawrence/status/990789952572030976", "990789952572030976")</f>
        <v/>
      </c>
      <c r="B2090" s="2" t="n">
        <v>43220.13086805555</v>
      </c>
      <c r="C2090" t="n">
        <v>0</v>
      </c>
      <c r="D2090" t="n">
        <v>6546</v>
      </c>
      <c r="E2090" t="s">
        <v>2097</v>
      </c>
      <c r="F2090" t="s"/>
      <c r="G2090" t="s"/>
      <c r="H2090" t="s"/>
      <c r="I2090" t="s"/>
      <c r="J2090" t="n">
        <v>0.3182</v>
      </c>
      <c r="K2090" t="n">
        <v>0</v>
      </c>
      <c r="L2090" t="n">
        <v>0.777</v>
      </c>
      <c r="M2090" t="n">
        <v>0.223</v>
      </c>
    </row>
    <row r="2091" spans="1:13">
      <c r="A2091" s="1">
        <f>HYPERLINK("http://www.twitter.com/NathanBLawrence/status/990782932527730688", "990782932527730688")</f>
        <v/>
      </c>
      <c r="B2091" s="2" t="n">
        <v>43220.11149305556</v>
      </c>
      <c r="C2091" t="n">
        <v>0</v>
      </c>
      <c r="D2091" t="n">
        <v>5948</v>
      </c>
      <c r="E2091" t="s">
        <v>2098</v>
      </c>
      <c r="F2091" t="s"/>
      <c r="G2091" t="s"/>
      <c r="H2091" t="s"/>
      <c r="I2091" t="s"/>
      <c r="J2091" t="n">
        <v>0</v>
      </c>
      <c r="K2091" t="n">
        <v>0</v>
      </c>
      <c r="L2091" t="n">
        <v>1</v>
      </c>
      <c r="M2091" t="n">
        <v>0</v>
      </c>
    </row>
    <row r="2092" spans="1:13">
      <c r="A2092" s="1">
        <f>HYPERLINK("http://www.twitter.com/NathanBLawrence/status/990756643888447489", "990756643888447489")</f>
        <v/>
      </c>
      <c r="B2092" s="2" t="n">
        <v>43220.03894675926</v>
      </c>
      <c r="C2092" t="n">
        <v>0</v>
      </c>
      <c r="D2092" t="n">
        <v>362</v>
      </c>
      <c r="E2092" t="s">
        <v>2099</v>
      </c>
      <c r="F2092" t="s"/>
      <c r="G2092" t="s"/>
      <c r="H2092" t="s"/>
      <c r="I2092" t="s"/>
      <c r="J2092" t="n">
        <v>0.6486</v>
      </c>
      <c r="K2092" t="n">
        <v>0</v>
      </c>
      <c r="L2092" t="n">
        <v>0.798</v>
      </c>
      <c r="M2092" t="n">
        <v>0.202</v>
      </c>
    </row>
    <row r="2093" spans="1:13">
      <c r="A2093" s="1">
        <f>HYPERLINK("http://www.twitter.com/NathanBLawrence/status/990755793510187008", "990755793510187008")</f>
        <v/>
      </c>
      <c r="B2093" s="2" t="n">
        <v>43220.0366087963</v>
      </c>
      <c r="C2093" t="n">
        <v>3</v>
      </c>
      <c r="D2093" t="n">
        <v>1</v>
      </c>
      <c r="E2093" t="s">
        <v>2100</v>
      </c>
      <c r="F2093" t="s"/>
      <c r="G2093" t="s"/>
      <c r="H2093" t="s"/>
      <c r="I2093" t="s"/>
      <c r="J2093" t="n">
        <v>0.296</v>
      </c>
      <c r="K2093" t="n">
        <v>0.08799999999999999</v>
      </c>
      <c r="L2093" t="n">
        <v>0.748</v>
      </c>
      <c r="M2093" t="n">
        <v>0.163</v>
      </c>
    </row>
    <row r="2094" spans="1:13">
      <c r="A2094" s="1">
        <f>HYPERLINK("http://www.twitter.com/NathanBLawrence/status/990726117551063041", "990726117551063041")</f>
        <v/>
      </c>
      <c r="B2094" s="2" t="n">
        <v>43219.95471064815</v>
      </c>
      <c r="C2094" t="n">
        <v>3</v>
      </c>
      <c r="D2094" t="n">
        <v>0</v>
      </c>
      <c r="E2094" t="s">
        <v>2101</v>
      </c>
      <c r="F2094" t="s"/>
      <c r="G2094" t="s"/>
      <c r="H2094" t="s"/>
      <c r="I2094" t="s"/>
      <c r="J2094" t="n">
        <v>0</v>
      </c>
      <c r="K2094" t="n">
        <v>0</v>
      </c>
      <c r="L2094" t="n">
        <v>1</v>
      </c>
      <c r="M2094" t="n">
        <v>0</v>
      </c>
    </row>
    <row r="2095" spans="1:13">
      <c r="A2095" s="1">
        <f>HYPERLINK("http://www.twitter.com/NathanBLawrence/status/990725380334997504", "990725380334997504")</f>
        <v/>
      </c>
      <c r="B2095" s="2" t="n">
        <v>43219.95268518518</v>
      </c>
      <c r="C2095" t="n">
        <v>1</v>
      </c>
      <c r="D2095" t="n">
        <v>0</v>
      </c>
      <c r="E2095" t="s">
        <v>2102</v>
      </c>
      <c r="F2095" t="s"/>
      <c r="G2095" t="s"/>
      <c r="H2095" t="s"/>
      <c r="I2095" t="s"/>
      <c r="J2095" t="n">
        <v>-0.4404</v>
      </c>
      <c r="K2095" t="n">
        <v>0.367</v>
      </c>
      <c r="L2095" t="n">
        <v>0.633</v>
      </c>
      <c r="M2095" t="n">
        <v>0</v>
      </c>
    </row>
    <row r="2096" spans="1:13">
      <c r="A2096" s="1">
        <f>HYPERLINK("http://www.twitter.com/NathanBLawrence/status/990724710060113920", "990724710060113920")</f>
        <v/>
      </c>
      <c r="B2096" s="2" t="n">
        <v>43219.95083333334</v>
      </c>
      <c r="C2096" t="n">
        <v>0</v>
      </c>
      <c r="D2096" t="n">
        <v>968</v>
      </c>
      <c r="E2096" t="s">
        <v>2103</v>
      </c>
      <c r="F2096" t="s"/>
      <c r="G2096" t="s"/>
      <c r="H2096" t="s"/>
      <c r="I2096" t="s"/>
      <c r="J2096" t="n">
        <v>0.3182</v>
      </c>
      <c r="K2096" t="n">
        <v>0</v>
      </c>
      <c r="L2096" t="n">
        <v>0.897</v>
      </c>
      <c r="M2096" t="n">
        <v>0.103</v>
      </c>
    </row>
    <row r="2097" spans="1:13">
      <c r="A2097" s="1">
        <f>HYPERLINK("http://www.twitter.com/NathanBLawrence/status/990689489847836672", "990689489847836672")</f>
        <v/>
      </c>
      <c r="B2097" s="2" t="n">
        <v>43219.85364583333</v>
      </c>
      <c r="C2097" t="n">
        <v>0</v>
      </c>
      <c r="D2097" t="n">
        <v>1704</v>
      </c>
      <c r="E2097" t="s">
        <v>2104</v>
      </c>
      <c r="F2097" t="s"/>
      <c r="G2097" t="s"/>
      <c r="H2097" t="s"/>
      <c r="I2097" t="s"/>
      <c r="J2097" t="n">
        <v>0.5574</v>
      </c>
      <c r="K2097" t="n">
        <v>0.169</v>
      </c>
      <c r="L2097" t="n">
        <v>0.5620000000000001</v>
      </c>
      <c r="M2097" t="n">
        <v>0.27</v>
      </c>
    </row>
    <row r="2098" spans="1:13">
      <c r="A2098" s="1">
        <f>HYPERLINK("http://www.twitter.com/NathanBLawrence/status/990687445669875713", "990687445669875713")</f>
        <v/>
      </c>
      <c r="B2098" s="2" t="n">
        <v>43219.84799768519</v>
      </c>
      <c r="C2098" t="n">
        <v>0</v>
      </c>
      <c r="D2098" t="n">
        <v>1701</v>
      </c>
      <c r="E2098" t="s">
        <v>2105</v>
      </c>
      <c r="F2098" t="s"/>
      <c r="G2098" t="s"/>
      <c r="H2098" t="s"/>
      <c r="I2098" t="s"/>
      <c r="J2098" t="n">
        <v>0.2867</v>
      </c>
      <c r="K2098" t="n">
        <v>0.14</v>
      </c>
      <c r="L2098" t="n">
        <v>0.646</v>
      </c>
      <c r="M2098" t="n">
        <v>0.214</v>
      </c>
    </row>
    <row r="2099" spans="1:13">
      <c r="A2099" s="1">
        <f>HYPERLINK("http://www.twitter.com/NathanBLawrence/status/990687310042853376", "990687310042853376")</f>
        <v/>
      </c>
      <c r="B2099" s="2" t="n">
        <v>43219.84762731481</v>
      </c>
      <c r="C2099" t="n">
        <v>0</v>
      </c>
      <c r="D2099" t="n">
        <v>432</v>
      </c>
      <c r="E2099" t="s">
        <v>2106</v>
      </c>
      <c r="F2099" t="s"/>
      <c r="G2099" t="s"/>
      <c r="H2099" t="s"/>
      <c r="I2099" t="s"/>
      <c r="J2099" t="n">
        <v>-0.2023</v>
      </c>
      <c r="K2099" t="n">
        <v>0.264</v>
      </c>
      <c r="L2099" t="n">
        <v>0.517</v>
      </c>
      <c r="M2099" t="n">
        <v>0.218</v>
      </c>
    </row>
    <row r="2100" spans="1:13">
      <c r="A2100" s="1">
        <f>HYPERLINK("http://www.twitter.com/NathanBLawrence/status/990687268976373762", "990687268976373762")</f>
        <v/>
      </c>
      <c r="B2100" s="2" t="n">
        <v>43219.84751157407</v>
      </c>
      <c r="C2100" t="n">
        <v>0</v>
      </c>
      <c r="D2100" t="n">
        <v>54</v>
      </c>
      <c r="E2100" t="s">
        <v>2107</v>
      </c>
      <c r="F2100">
        <f>HYPERLINK("http://pbs.twimg.com/media/Db-PzCcWsAA5Ffg.jpg", "http://pbs.twimg.com/media/Db-PzCcWsAA5Ffg.jpg")</f>
        <v/>
      </c>
      <c r="G2100" t="s"/>
      <c r="H2100" t="s"/>
      <c r="I2100" t="s"/>
      <c r="J2100" t="n">
        <v>0.5266999999999999</v>
      </c>
      <c r="K2100" t="n">
        <v>0</v>
      </c>
      <c r="L2100" t="n">
        <v>0.773</v>
      </c>
      <c r="M2100" t="n">
        <v>0.227</v>
      </c>
    </row>
    <row r="2101" spans="1:13">
      <c r="A2101" s="1">
        <f>HYPERLINK("http://www.twitter.com/NathanBLawrence/status/990687155096838144", "990687155096838144")</f>
        <v/>
      </c>
      <c r="B2101" s="2" t="n">
        <v>43219.84719907407</v>
      </c>
      <c r="C2101" t="n">
        <v>0</v>
      </c>
      <c r="D2101" t="n">
        <v>555</v>
      </c>
      <c r="E2101" t="s">
        <v>2108</v>
      </c>
      <c r="F2101">
        <f>HYPERLINK("http://pbs.twimg.com/media/Db6VLZlU8AA7wza.jpg", "http://pbs.twimg.com/media/Db6VLZlU8AA7wza.jpg")</f>
        <v/>
      </c>
      <c r="G2101" t="s"/>
      <c r="H2101" t="s"/>
      <c r="I2101" t="s"/>
      <c r="J2101" t="n">
        <v>0.5848</v>
      </c>
      <c r="K2101" t="n">
        <v>0.07000000000000001</v>
      </c>
      <c r="L2101" t="n">
        <v>0.762</v>
      </c>
      <c r="M2101" t="n">
        <v>0.167</v>
      </c>
    </row>
    <row r="2102" spans="1:13">
      <c r="A2102" s="1">
        <f>HYPERLINK("http://www.twitter.com/NathanBLawrence/status/990687090257092610", "990687090257092610")</f>
        <v/>
      </c>
      <c r="B2102" s="2" t="n">
        <v>43219.84702546296</v>
      </c>
      <c r="C2102" t="n">
        <v>0</v>
      </c>
      <c r="D2102" t="n">
        <v>6</v>
      </c>
      <c r="E2102" t="s">
        <v>2109</v>
      </c>
      <c r="F2102" t="s"/>
      <c r="G2102" t="s"/>
      <c r="H2102" t="s"/>
      <c r="I2102" t="s"/>
      <c r="J2102" t="n">
        <v>0.0258</v>
      </c>
      <c r="K2102" t="n">
        <v>0.146</v>
      </c>
      <c r="L2102" t="n">
        <v>0.701</v>
      </c>
      <c r="M2102" t="n">
        <v>0.153</v>
      </c>
    </row>
    <row r="2103" spans="1:13">
      <c r="A2103" s="1">
        <f>HYPERLINK("http://www.twitter.com/NathanBLawrence/status/990686836996562944", "990686836996562944")</f>
        <v/>
      </c>
      <c r="B2103" s="2" t="n">
        <v>43219.84631944444</v>
      </c>
      <c r="C2103" t="n">
        <v>0</v>
      </c>
      <c r="D2103" t="n">
        <v>26900</v>
      </c>
      <c r="E2103" t="s">
        <v>2110</v>
      </c>
      <c r="F2103" t="s"/>
      <c r="G2103" t="s"/>
      <c r="H2103" t="s"/>
      <c r="I2103" t="s"/>
      <c r="J2103" t="n">
        <v>0.5355</v>
      </c>
      <c r="K2103" t="n">
        <v>0</v>
      </c>
      <c r="L2103" t="n">
        <v>0.831</v>
      </c>
      <c r="M2103" t="n">
        <v>0.169</v>
      </c>
    </row>
    <row r="2104" spans="1:13">
      <c r="A2104" s="1">
        <f>HYPERLINK("http://www.twitter.com/NathanBLawrence/status/990686779912011776", "990686779912011776")</f>
        <v/>
      </c>
      <c r="B2104" s="2" t="n">
        <v>43219.84616898148</v>
      </c>
      <c r="C2104" t="n">
        <v>0</v>
      </c>
      <c r="D2104" t="n">
        <v>18821</v>
      </c>
      <c r="E2104" t="s">
        <v>2111</v>
      </c>
      <c r="F2104" t="s"/>
      <c r="G2104" t="s"/>
      <c r="H2104" t="s"/>
      <c r="I2104" t="s"/>
      <c r="J2104" t="n">
        <v>0.5719</v>
      </c>
      <c r="K2104" t="n">
        <v>0</v>
      </c>
      <c r="L2104" t="n">
        <v>0.829</v>
      </c>
      <c r="M2104" t="n">
        <v>0.171</v>
      </c>
    </row>
    <row r="2105" spans="1:13">
      <c r="A2105" s="1">
        <f>HYPERLINK("http://www.twitter.com/NathanBLawrence/status/990686603478683649", "990686603478683649")</f>
        <v/>
      </c>
      <c r="B2105" s="2" t="n">
        <v>43219.84567129629</v>
      </c>
      <c r="C2105" t="n">
        <v>0</v>
      </c>
      <c r="D2105" t="n">
        <v>38796</v>
      </c>
      <c r="E2105" t="s">
        <v>2112</v>
      </c>
      <c r="F2105" t="s"/>
      <c r="G2105" t="s"/>
      <c r="H2105" t="s"/>
      <c r="I2105" t="s"/>
      <c r="J2105" t="n">
        <v>-0.0083</v>
      </c>
      <c r="K2105" t="n">
        <v>0.095</v>
      </c>
      <c r="L2105" t="n">
        <v>0.8120000000000001</v>
      </c>
      <c r="M2105" t="n">
        <v>0.093</v>
      </c>
    </row>
    <row r="2106" spans="1:13">
      <c r="A2106" s="1">
        <f>HYPERLINK("http://www.twitter.com/NathanBLawrence/status/990686448880828417", "990686448880828417")</f>
        <v/>
      </c>
      <c r="B2106" s="2" t="n">
        <v>43219.84525462963</v>
      </c>
      <c r="C2106" t="n">
        <v>0</v>
      </c>
      <c r="D2106" t="n">
        <v>398</v>
      </c>
      <c r="E2106" t="s">
        <v>2113</v>
      </c>
      <c r="F2106" t="s"/>
      <c r="G2106" t="s"/>
      <c r="H2106" t="s"/>
      <c r="I2106" t="s"/>
      <c r="J2106" t="n">
        <v>0</v>
      </c>
      <c r="K2106" t="n">
        <v>0</v>
      </c>
      <c r="L2106" t="n">
        <v>1</v>
      </c>
      <c r="M2106" t="n">
        <v>0</v>
      </c>
    </row>
    <row r="2107" spans="1:13">
      <c r="A2107" s="1">
        <f>HYPERLINK("http://www.twitter.com/NathanBLawrence/status/990686032411553792", "990686032411553792")</f>
        <v/>
      </c>
      <c r="B2107" s="2" t="n">
        <v>43219.84409722222</v>
      </c>
      <c r="C2107" t="n">
        <v>0</v>
      </c>
      <c r="D2107" t="n">
        <v>963</v>
      </c>
      <c r="E2107" t="s">
        <v>2114</v>
      </c>
      <c r="F2107" t="s"/>
      <c r="G2107" t="s"/>
      <c r="H2107" t="s"/>
      <c r="I2107" t="s"/>
      <c r="J2107" t="n">
        <v>0</v>
      </c>
      <c r="K2107" t="n">
        <v>0</v>
      </c>
      <c r="L2107" t="n">
        <v>1</v>
      </c>
      <c r="M2107" t="n">
        <v>0</v>
      </c>
    </row>
    <row r="2108" spans="1:13">
      <c r="A2108" s="1">
        <f>HYPERLINK("http://www.twitter.com/NathanBLawrence/status/990685500443787264", "990685500443787264")</f>
        <v/>
      </c>
      <c r="B2108" s="2" t="n">
        <v>43219.84263888889</v>
      </c>
      <c r="C2108" t="n">
        <v>0</v>
      </c>
      <c r="D2108" t="n">
        <v>270</v>
      </c>
      <c r="E2108" t="s">
        <v>2115</v>
      </c>
      <c r="F2108">
        <f>HYPERLINK("http://pbs.twimg.com/media/Db-FtTKU0AADgAG.jpg", "http://pbs.twimg.com/media/Db-FtTKU0AADgAG.jpg")</f>
        <v/>
      </c>
      <c r="G2108" t="s"/>
      <c r="H2108" t="s"/>
      <c r="I2108" t="s"/>
      <c r="J2108" t="n">
        <v>0.3182</v>
      </c>
      <c r="K2108" t="n">
        <v>0</v>
      </c>
      <c r="L2108" t="n">
        <v>0.901</v>
      </c>
      <c r="M2108" t="n">
        <v>0.099</v>
      </c>
    </row>
    <row r="2109" spans="1:13">
      <c r="A2109" s="1">
        <f>HYPERLINK("http://www.twitter.com/NathanBLawrence/status/990685211917668352", "990685211917668352")</f>
        <v/>
      </c>
      <c r="B2109" s="2" t="n">
        <v>43219.84184027778</v>
      </c>
      <c r="C2109" t="n">
        <v>0</v>
      </c>
      <c r="D2109" t="n">
        <v>277</v>
      </c>
      <c r="E2109" t="s">
        <v>2116</v>
      </c>
      <c r="F2109">
        <f>HYPERLINK("https://video.twimg.com/amplify_video/990638819673362442/vid/636x360/lAUrUT7M_WnYT9TM.mp4?tag=2", "https://video.twimg.com/amplify_video/990638819673362442/vid/636x360/lAUrUT7M_WnYT9TM.mp4?tag=2")</f>
        <v/>
      </c>
      <c r="G2109" t="s"/>
      <c r="H2109" t="s"/>
      <c r="I2109" t="s"/>
      <c r="J2109" t="n">
        <v>0</v>
      </c>
      <c r="K2109" t="n">
        <v>0</v>
      </c>
      <c r="L2109" t="n">
        <v>1</v>
      </c>
      <c r="M2109" t="n">
        <v>0</v>
      </c>
    </row>
    <row r="2110" spans="1:13">
      <c r="A2110" s="1">
        <f>HYPERLINK("http://www.twitter.com/NathanBLawrence/status/990684937811517440", "990684937811517440")</f>
        <v/>
      </c>
      <c r="B2110" s="2" t="n">
        <v>43219.84107638889</v>
      </c>
      <c r="C2110" t="n">
        <v>0</v>
      </c>
      <c r="D2110" t="n">
        <v>1945</v>
      </c>
      <c r="E2110" t="s">
        <v>2117</v>
      </c>
      <c r="F2110">
        <f>HYPERLINK("http://pbs.twimg.com/media/Db93ddQWkAAlIFE.jpg", "http://pbs.twimg.com/media/Db93ddQWkAAlIFE.jpg")</f>
        <v/>
      </c>
      <c r="G2110" t="s"/>
      <c r="H2110" t="s"/>
      <c r="I2110" t="s"/>
      <c r="J2110" t="n">
        <v>-0.0772</v>
      </c>
      <c r="K2110" t="n">
        <v>0.096</v>
      </c>
      <c r="L2110" t="n">
        <v>0.819</v>
      </c>
      <c r="M2110" t="n">
        <v>0.08500000000000001</v>
      </c>
    </row>
    <row r="2111" spans="1:13">
      <c r="A2111" s="1">
        <f>HYPERLINK("http://www.twitter.com/NathanBLawrence/status/990684859524763648", "990684859524763648")</f>
        <v/>
      </c>
      <c r="B2111" s="2" t="n">
        <v>43219.84086805556</v>
      </c>
      <c r="C2111" t="n">
        <v>0</v>
      </c>
      <c r="D2111" t="n">
        <v>2361</v>
      </c>
      <c r="E2111" t="s">
        <v>2118</v>
      </c>
      <c r="F2111" t="s"/>
      <c r="G2111" t="s"/>
      <c r="H2111" t="s"/>
      <c r="I2111" t="s"/>
      <c r="J2111" t="n">
        <v>0.34</v>
      </c>
      <c r="K2111" t="n">
        <v>0</v>
      </c>
      <c r="L2111" t="n">
        <v>0.806</v>
      </c>
      <c r="M2111" t="n">
        <v>0.194</v>
      </c>
    </row>
    <row r="2112" spans="1:13">
      <c r="A2112" s="1">
        <f>HYPERLINK("http://www.twitter.com/NathanBLawrence/status/990684814566047744", "990684814566047744")</f>
        <v/>
      </c>
      <c r="B2112" s="2" t="n">
        <v>43219.84074074074</v>
      </c>
      <c r="C2112" t="n">
        <v>0</v>
      </c>
      <c r="D2112" t="n">
        <v>440</v>
      </c>
      <c r="E2112" t="s">
        <v>2119</v>
      </c>
      <c r="F2112">
        <f>HYPERLINK("http://pbs.twimg.com/media/Db98SYYXUAUyYCN.jpg", "http://pbs.twimg.com/media/Db98SYYXUAUyYCN.jpg")</f>
        <v/>
      </c>
      <c r="G2112" t="s"/>
      <c r="H2112" t="s"/>
      <c r="I2112" t="s"/>
      <c r="J2112" t="n">
        <v>0.6369</v>
      </c>
      <c r="K2112" t="n">
        <v>0</v>
      </c>
      <c r="L2112" t="n">
        <v>0.756</v>
      </c>
      <c r="M2112" t="n">
        <v>0.244</v>
      </c>
    </row>
    <row r="2113" spans="1:13">
      <c r="A2113" s="1">
        <f>HYPERLINK("http://www.twitter.com/NathanBLawrence/status/990684442850091008", "990684442850091008")</f>
        <v/>
      </c>
      <c r="B2113" s="2" t="n">
        <v>43219.83971064815</v>
      </c>
      <c r="C2113" t="n">
        <v>0</v>
      </c>
      <c r="D2113" t="n">
        <v>152</v>
      </c>
      <c r="E2113" t="s">
        <v>2120</v>
      </c>
      <c r="F2113" t="s"/>
      <c r="G2113" t="s"/>
      <c r="H2113" t="s"/>
      <c r="I2113" t="s"/>
      <c r="J2113" t="n">
        <v>0</v>
      </c>
      <c r="K2113" t="n">
        <v>0</v>
      </c>
      <c r="L2113" t="n">
        <v>1</v>
      </c>
      <c r="M2113" t="n">
        <v>0</v>
      </c>
    </row>
    <row r="2114" spans="1:13">
      <c r="A2114" s="1">
        <f>HYPERLINK("http://www.twitter.com/NathanBLawrence/status/990684354782183424", "990684354782183424")</f>
        <v/>
      </c>
      <c r="B2114" s="2" t="n">
        <v>43219.8394675926</v>
      </c>
      <c r="C2114" t="n">
        <v>0</v>
      </c>
      <c r="D2114" t="n">
        <v>765</v>
      </c>
      <c r="E2114" t="s">
        <v>2121</v>
      </c>
      <c r="F2114" t="s"/>
      <c r="G2114" t="s"/>
      <c r="H2114" t="s"/>
      <c r="I2114" t="s"/>
      <c r="J2114" t="n">
        <v>0.4019</v>
      </c>
      <c r="K2114" t="n">
        <v>0</v>
      </c>
      <c r="L2114" t="n">
        <v>0.895</v>
      </c>
      <c r="M2114" t="n">
        <v>0.105</v>
      </c>
    </row>
    <row r="2115" spans="1:13">
      <c r="A2115" s="1">
        <f>HYPERLINK("http://www.twitter.com/NathanBLawrence/status/990684245919125504", "990684245919125504")</f>
        <v/>
      </c>
      <c r="B2115" s="2" t="n">
        <v>43219.83916666666</v>
      </c>
      <c r="C2115" t="n">
        <v>0</v>
      </c>
      <c r="D2115" t="n">
        <v>3082</v>
      </c>
      <c r="E2115" t="s">
        <v>2122</v>
      </c>
      <c r="F2115" t="s"/>
      <c r="G2115" t="s"/>
      <c r="H2115" t="s"/>
      <c r="I2115" t="s"/>
      <c r="J2115" t="n">
        <v>0.4912</v>
      </c>
      <c r="K2115" t="n">
        <v>0</v>
      </c>
      <c r="L2115" t="n">
        <v>0.874</v>
      </c>
      <c r="M2115" t="n">
        <v>0.126</v>
      </c>
    </row>
    <row r="2116" spans="1:13">
      <c r="A2116" s="1">
        <f>HYPERLINK("http://www.twitter.com/NathanBLawrence/status/990684199223836672", "990684199223836672")</f>
        <v/>
      </c>
      <c r="B2116" s="2" t="n">
        <v>43219.83903935185</v>
      </c>
      <c r="C2116" t="n">
        <v>0</v>
      </c>
      <c r="D2116" t="n">
        <v>558</v>
      </c>
      <c r="E2116" t="s">
        <v>2123</v>
      </c>
      <c r="F2116" t="s"/>
      <c r="G2116" t="s"/>
      <c r="H2116" t="s"/>
      <c r="I2116" t="s"/>
      <c r="J2116" t="n">
        <v>0.0258</v>
      </c>
      <c r="K2116" t="n">
        <v>0</v>
      </c>
      <c r="L2116" t="n">
        <v>0.95</v>
      </c>
      <c r="M2116" t="n">
        <v>0.05</v>
      </c>
    </row>
    <row r="2117" spans="1:13">
      <c r="A2117" s="1">
        <f>HYPERLINK("http://www.twitter.com/NathanBLawrence/status/990684116130578432", "990684116130578432")</f>
        <v/>
      </c>
      <c r="B2117" s="2" t="n">
        <v>43219.83880787037</v>
      </c>
      <c r="C2117" t="n">
        <v>0</v>
      </c>
      <c r="D2117" t="n">
        <v>8733</v>
      </c>
      <c r="E2117" t="s">
        <v>2124</v>
      </c>
      <c r="F2117" t="s"/>
      <c r="G2117" t="s"/>
      <c r="H2117" t="s"/>
      <c r="I2117" t="s"/>
      <c r="J2117" t="n">
        <v>0.7351</v>
      </c>
      <c r="K2117" t="n">
        <v>0</v>
      </c>
      <c r="L2117" t="n">
        <v>0.763</v>
      </c>
      <c r="M2117" t="n">
        <v>0.237</v>
      </c>
    </row>
    <row r="2118" spans="1:13">
      <c r="A2118" s="1">
        <f>HYPERLINK("http://www.twitter.com/NathanBLawrence/status/990684001374359552", "990684001374359552")</f>
        <v/>
      </c>
      <c r="B2118" s="2" t="n">
        <v>43219.83849537037</v>
      </c>
      <c r="C2118" t="n">
        <v>0</v>
      </c>
      <c r="D2118" t="n">
        <v>1224</v>
      </c>
      <c r="E2118" t="s">
        <v>2125</v>
      </c>
      <c r="F2118">
        <f>HYPERLINK("http://pbs.twimg.com/media/Db-J2-aU8AE4aCN.jpg", "http://pbs.twimg.com/media/Db-J2-aU8AE4aCN.jpg")</f>
        <v/>
      </c>
      <c r="G2118" t="s"/>
      <c r="H2118" t="s"/>
      <c r="I2118" t="s"/>
      <c r="J2118" t="n">
        <v>0.2003</v>
      </c>
      <c r="K2118" t="n">
        <v>0.2</v>
      </c>
      <c r="L2118" t="n">
        <v>0.576</v>
      </c>
      <c r="M2118" t="n">
        <v>0.224</v>
      </c>
    </row>
    <row r="2119" spans="1:13">
      <c r="A2119" s="1">
        <f>HYPERLINK("http://www.twitter.com/NathanBLawrence/status/990683910588674048", "990683910588674048")</f>
        <v/>
      </c>
      <c r="B2119" s="2" t="n">
        <v>43219.83824074074</v>
      </c>
      <c r="C2119" t="n">
        <v>0</v>
      </c>
      <c r="D2119" t="n">
        <v>0</v>
      </c>
      <c r="E2119" t="s">
        <v>2126</v>
      </c>
      <c r="F2119" t="s"/>
      <c r="G2119" t="s"/>
      <c r="H2119" t="s"/>
      <c r="I2119" t="s"/>
      <c r="J2119" t="n">
        <v>0</v>
      </c>
      <c r="K2119" t="n">
        <v>0</v>
      </c>
      <c r="L2119" t="n">
        <v>1</v>
      </c>
      <c r="M2119" t="n">
        <v>0</v>
      </c>
    </row>
    <row r="2120" spans="1:13">
      <c r="A2120" s="1">
        <f>HYPERLINK("http://www.twitter.com/NathanBLawrence/status/990683538604285953", "990683538604285953")</f>
        <v/>
      </c>
      <c r="B2120" s="2" t="n">
        <v>43219.83722222222</v>
      </c>
      <c r="C2120" t="n">
        <v>0</v>
      </c>
      <c r="D2120" t="n">
        <v>0</v>
      </c>
      <c r="E2120" t="s">
        <v>2127</v>
      </c>
      <c r="F2120" t="s"/>
      <c r="G2120" t="s"/>
      <c r="H2120" t="s"/>
      <c r="I2120" t="s"/>
      <c r="J2120" t="n">
        <v>-0.6249</v>
      </c>
      <c r="K2120" t="n">
        <v>0.181</v>
      </c>
      <c r="L2120" t="n">
        <v>0.819</v>
      </c>
      <c r="M2120" t="n">
        <v>0</v>
      </c>
    </row>
    <row r="2121" spans="1:13">
      <c r="A2121" s="1">
        <f>HYPERLINK("http://www.twitter.com/NathanBLawrence/status/990682906229026816", "990682906229026816")</f>
        <v/>
      </c>
      <c r="B2121" s="2" t="n">
        <v>43219.83547453704</v>
      </c>
      <c r="C2121" t="n">
        <v>0</v>
      </c>
      <c r="D2121" t="n">
        <v>721</v>
      </c>
      <c r="E2121" t="s">
        <v>2128</v>
      </c>
      <c r="F2121">
        <f>HYPERLINK("https://video.twimg.com/amplify_video/990632662166581249/vid/1280x720/uqsftPYKaSckaJFR.mp4?tag=2", "https://video.twimg.com/amplify_video/990632662166581249/vid/1280x720/uqsftPYKaSckaJFR.mp4?tag=2")</f>
        <v/>
      </c>
      <c r="G2121" t="s"/>
      <c r="H2121" t="s"/>
      <c r="I2121" t="s"/>
      <c r="J2121" t="n">
        <v>0</v>
      </c>
      <c r="K2121" t="n">
        <v>0</v>
      </c>
      <c r="L2121" t="n">
        <v>1</v>
      </c>
      <c r="M2121" t="n">
        <v>0</v>
      </c>
    </row>
    <row r="2122" spans="1:13">
      <c r="A2122" s="1">
        <f>HYPERLINK("http://www.twitter.com/NathanBLawrence/status/990682810133311493", "990682810133311493")</f>
        <v/>
      </c>
      <c r="B2122" s="2" t="n">
        <v>43219.83520833333</v>
      </c>
      <c r="C2122" t="n">
        <v>0</v>
      </c>
      <c r="D2122" t="n">
        <v>2363</v>
      </c>
      <c r="E2122" t="s">
        <v>2129</v>
      </c>
      <c r="F2122" t="s"/>
      <c r="G2122" t="s"/>
      <c r="H2122" t="s"/>
      <c r="I2122" t="s"/>
      <c r="J2122" t="n">
        <v>-0.6249</v>
      </c>
      <c r="K2122" t="n">
        <v>0.239</v>
      </c>
      <c r="L2122" t="n">
        <v>0.6879999999999999</v>
      </c>
      <c r="M2122" t="n">
        <v>0.073</v>
      </c>
    </row>
    <row r="2123" spans="1:13">
      <c r="A2123" s="1">
        <f>HYPERLINK("http://www.twitter.com/NathanBLawrence/status/990682526501892096", "990682526501892096")</f>
        <v/>
      </c>
      <c r="B2123" s="2" t="n">
        <v>43219.8344212963</v>
      </c>
      <c r="C2123" t="n">
        <v>0</v>
      </c>
      <c r="D2123" t="n">
        <v>101</v>
      </c>
      <c r="E2123" t="s">
        <v>2130</v>
      </c>
      <c r="F2123" t="s"/>
      <c r="G2123" t="s"/>
      <c r="H2123" t="s"/>
      <c r="I2123" t="s"/>
      <c r="J2123" t="n">
        <v>-0.5994</v>
      </c>
      <c r="K2123" t="n">
        <v>0.163</v>
      </c>
      <c r="L2123" t="n">
        <v>0.837</v>
      </c>
      <c r="M2123" t="n">
        <v>0</v>
      </c>
    </row>
    <row r="2124" spans="1:13">
      <c r="A2124" s="1">
        <f>HYPERLINK("http://www.twitter.com/NathanBLawrence/status/990682147747913732", "990682147747913732")</f>
        <v/>
      </c>
      <c r="B2124" s="2" t="n">
        <v>43219.83337962963</v>
      </c>
      <c r="C2124" t="n">
        <v>0</v>
      </c>
      <c r="D2124" t="n">
        <v>5808</v>
      </c>
      <c r="E2124" t="s">
        <v>2131</v>
      </c>
      <c r="F2124" t="s"/>
      <c r="G2124" t="s"/>
      <c r="H2124" t="s"/>
      <c r="I2124" t="s"/>
      <c r="J2124" t="n">
        <v>0</v>
      </c>
      <c r="K2124" t="n">
        <v>0</v>
      </c>
      <c r="L2124" t="n">
        <v>1</v>
      </c>
      <c r="M2124" t="n">
        <v>0</v>
      </c>
    </row>
    <row r="2125" spans="1:13">
      <c r="A2125" s="1">
        <f>HYPERLINK("http://www.twitter.com/NathanBLawrence/status/990682078122422273", "990682078122422273")</f>
        <v/>
      </c>
      <c r="B2125" s="2" t="n">
        <v>43219.83319444444</v>
      </c>
      <c r="C2125" t="n">
        <v>0</v>
      </c>
      <c r="D2125" t="n">
        <v>2793</v>
      </c>
      <c r="E2125" t="s">
        <v>2132</v>
      </c>
      <c r="F2125">
        <f>HYPERLINK("http://pbs.twimg.com/media/Db-VHD0UQAAfP9a.jpg", "http://pbs.twimg.com/media/Db-VHD0UQAAfP9a.jpg")</f>
        <v/>
      </c>
      <c r="G2125" t="s"/>
      <c r="H2125" t="s"/>
      <c r="I2125" t="s"/>
      <c r="J2125" t="n">
        <v>0</v>
      </c>
      <c r="K2125" t="n">
        <v>0</v>
      </c>
      <c r="L2125" t="n">
        <v>1</v>
      </c>
      <c r="M2125" t="n">
        <v>0</v>
      </c>
    </row>
    <row r="2126" spans="1:13">
      <c r="A2126" s="1">
        <f>HYPERLINK("http://www.twitter.com/NathanBLawrence/status/990682023697174528", "990682023697174528")</f>
        <v/>
      </c>
      <c r="B2126" s="2" t="n">
        <v>43219.83304398148</v>
      </c>
      <c r="C2126" t="n">
        <v>0</v>
      </c>
      <c r="D2126" t="n">
        <v>1183</v>
      </c>
      <c r="E2126" t="s">
        <v>2133</v>
      </c>
      <c r="F2126" t="s"/>
      <c r="G2126" t="s"/>
      <c r="H2126" t="s"/>
      <c r="I2126" t="s"/>
      <c r="J2126" t="n">
        <v>-0.2023</v>
      </c>
      <c r="K2126" t="n">
        <v>0.203</v>
      </c>
      <c r="L2126" t="n">
        <v>0.621</v>
      </c>
      <c r="M2126" t="n">
        <v>0.176</v>
      </c>
    </row>
    <row r="2127" spans="1:13">
      <c r="A2127" s="1">
        <f>HYPERLINK("http://www.twitter.com/NathanBLawrence/status/990681951756419072", "990681951756419072")</f>
        <v/>
      </c>
      <c r="B2127" s="2" t="n">
        <v>43219.83283564815</v>
      </c>
      <c r="C2127" t="n">
        <v>0</v>
      </c>
      <c r="D2127" t="n">
        <v>1444</v>
      </c>
      <c r="E2127" t="s">
        <v>2134</v>
      </c>
      <c r="F2127">
        <f>HYPERLINK("https://video.twimg.com/amplify_video/990641755283435520/vid/1280x720/jZl-OqOEkbO-PRcT.mp4?tag=2", "https://video.twimg.com/amplify_video/990641755283435520/vid/1280x720/jZl-OqOEkbO-PRcT.mp4?tag=2")</f>
        <v/>
      </c>
      <c r="G2127" t="s"/>
      <c r="H2127" t="s"/>
      <c r="I2127" t="s"/>
      <c r="J2127" t="n">
        <v>0.8481</v>
      </c>
      <c r="K2127" t="n">
        <v>0</v>
      </c>
      <c r="L2127" t="n">
        <v>0.705</v>
      </c>
      <c r="M2127" t="n">
        <v>0.295</v>
      </c>
    </row>
    <row r="2128" spans="1:13">
      <c r="A2128" s="1">
        <f>HYPERLINK("http://www.twitter.com/NathanBLawrence/status/990681865311797248", "990681865311797248")</f>
        <v/>
      </c>
      <c r="B2128" s="2" t="n">
        <v>43219.83260416667</v>
      </c>
      <c r="C2128" t="n">
        <v>0</v>
      </c>
      <c r="D2128" t="n">
        <v>1989</v>
      </c>
      <c r="E2128" t="s">
        <v>2135</v>
      </c>
      <c r="F2128" t="s"/>
      <c r="G2128" t="s"/>
      <c r="H2128" t="s"/>
      <c r="I2128" t="s"/>
      <c r="J2128" t="n">
        <v>0.2023</v>
      </c>
      <c r="K2128" t="n">
        <v>0.077</v>
      </c>
      <c r="L2128" t="n">
        <v>0.8120000000000001</v>
      </c>
      <c r="M2128" t="n">
        <v>0.111</v>
      </c>
    </row>
    <row r="2129" spans="1:13">
      <c r="A2129" s="1">
        <f>HYPERLINK("http://www.twitter.com/NathanBLawrence/status/990681790250565632", "990681790250565632")</f>
        <v/>
      </c>
      <c r="B2129" s="2" t="n">
        <v>43219.83239583333</v>
      </c>
      <c r="C2129" t="n">
        <v>0</v>
      </c>
      <c r="D2129" t="n">
        <v>10470</v>
      </c>
      <c r="E2129" t="s">
        <v>2136</v>
      </c>
      <c r="F2129" t="s"/>
      <c r="G2129" t="s"/>
      <c r="H2129" t="s"/>
      <c r="I2129" t="s"/>
      <c r="J2129" t="n">
        <v>-0.7351</v>
      </c>
      <c r="K2129" t="n">
        <v>0.256</v>
      </c>
      <c r="L2129" t="n">
        <v>0.744</v>
      </c>
      <c r="M2129" t="n">
        <v>0</v>
      </c>
    </row>
    <row r="2130" spans="1:13">
      <c r="A2130" s="1">
        <f>HYPERLINK("http://www.twitter.com/NathanBLawrence/status/990681751310684165", "990681751310684165")</f>
        <v/>
      </c>
      <c r="B2130" s="2" t="n">
        <v>43219.83229166667</v>
      </c>
      <c r="C2130" t="n">
        <v>0</v>
      </c>
      <c r="D2130" t="n">
        <v>779</v>
      </c>
      <c r="E2130" t="s">
        <v>2137</v>
      </c>
      <c r="F2130" t="s"/>
      <c r="G2130" t="s"/>
      <c r="H2130" t="s"/>
      <c r="I2130" t="s"/>
      <c r="J2130" t="n">
        <v>-0.4215</v>
      </c>
      <c r="K2130" t="n">
        <v>0.198</v>
      </c>
      <c r="L2130" t="n">
        <v>0.6889999999999999</v>
      </c>
      <c r="M2130" t="n">
        <v>0.114</v>
      </c>
    </row>
    <row r="2131" spans="1:13">
      <c r="A2131" s="1">
        <f>HYPERLINK("http://www.twitter.com/NathanBLawrence/status/990681663087636480", "990681663087636480")</f>
        <v/>
      </c>
      <c r="B2131" s="2" t="n">
        <v>43219.83204861111</v>
      </c>
      <c r="C2131" t="n">
        <v>0</v>
      </c>
      <c r="D2131" t="n">
        <v>1299</v>
      </c>
      <c r="E2131" t="s">
        <v>2138</v>
      </c>
      <c r="F2131" t="s"/>
      <c r="G2131" t="s"/>
      <c r="H2131" t="s"/>
      <c r="I2131" t="s"/>
      <c r="J2131" t="n">
        <v>0.1779</v>
      </c>
      <c r="K2131" t="n">
        <v>0.112</v>
      </c>
      <c r="L2131" t="n">
        <v>0.749</v>
      </c>
      <c r="M2131" t="n">
        <v>0.139</v>
      </c>
    </row>
    <row r="2132" spans="1:13">
      <c r="A2132" s="1">
        <f>HYPERLINK("http://www.twitter.com/NathanBLawrence/status/990681572301979648", "990681572301979648")</f>
        <v/>
      </c>
      <c r="B2132" s="2" t="n">
        <v>43219.83179398148</v>
      </c>
      <c r="C2132" t="n">
        <v>0</v>
      </c>
      <c r="D2132" t="n">
        <v>566</v>
      </c>
      <c r="E2132" t="s">
        <v>2139</v>
      </c>
      <c r="F2132" t="s"/>
      <c r="G2132" t="s"/>
      <c r="H2132" t="s"/>
      <c r="I2132" t="s"/>
      <c r="J2132" t="n">
        <v>0.3182</v>
      </c>
      <c r="K2132" t="n">
        <v>0.176</v>
      </c>
      <c r="L2132" t="n">
        <v>0.607</v>
      </c>
      <c r="M2132" t="n">
        <v>0.217</v>
      </c>
    </row>
    <row r="2133" spans="1:13">
      <c r="A2133" s="1">
        <f>HYPERLINK("http://www.twitter.com/NathanBLawrence/status/990681446305034241", "990681446305034241")</f>
        <v/>
      </c>
      <c r="B2133" s="2" t="n">
        <v>43219.83144675926</v>
      </c>
      <c r="C2133" t="n">
        <v>0</v>
      </c>
      <c r="D2133" t="n">
        <v>10332</v>
      </c>
      <c r="E2133" t="s">
        <v>2140</v>
      </c>
      <c r="F2133" t="s"/>
      <c r="G2133" t="s"/>
      <c r="H2133" t="s"/>
      <c r="I2133" t="s"/>
      <c r="J2133" t="n">
        <v>-0.7093</v>
      </c>
      <c r="K2133" t="n">
        <v>0.211</v>
      </c>
      <c r="L2133" t="n">
        <v>0.789</v>
      </c>
      <c r="M2133" t="n">
        <v>0</v>
      </c>
    </row>
    <row r="2134" spans="1:13">
      <c r="A2134" s="1">
        <f>HYPERLINK("http://www.twitter.com/NathanBLawrence/status/990681388998320129", "990681388998320129")</f>
        <v/>
      </c>
      <c r="B2134" s="2" t="n">
        <v>43219.83128472222</v>
      </c>
      <c r="C2134" t="n">
        <v>0</v>
      </c>
      <c r="D2134" t="n">
        <v>2194</v>
      </c>
      <c r="E2134" t="s">
        <v>2141</v>
      </c>
      <c r="F2134">
        <f>HYPERLINK("https://video.twimg.com/amplify_video/990641755283435520/vid/1280x720/jZl-OqOEkbO-PRcT.mp4?tag=2", "https://video.twimg.com/amplify_video/990641755283435520/vid/1280x720/jZl-OqOEkbO-PRcT.mp4?tag=2")</f>
        <v/>
      </c>
      <c r="G2134" t="s"/>
      <c r="H2134" t="s"/>
      <c r="I2134" t="s"/>
      <c r="J2134" t="n">
        <v>0</v>
      </c>
      <c r="K2134" t="n">
        <v>0</v>
      </c>
      <c r="L2134" t="n">
        <v>1</v>
      </c>
      <c r="M2134" t="n">
        <v>0</v>
      </c>
    </row>
    <row r="2135" spans="1:13">
      <c r="A2135" s="1">
        <f>HYPERLINK("http://www.twitter.com/NathanBLawrence/status/990681319398039552", "990681319398039552")</f>
        <v/>
      </c>
      <c r="B2135" s="2" t="n">
        <v>43219.83109953703</v>
      </c>
      <c r="C2135" t="n">
        <v>0</v>
      </c>
      <c r="D2135" t="n">
        <v>791</v>
      </c>
      <c r="E2135" t="s">
        <v>2142</v>
      </c>
      <c r="F2135" t="s"/>
      <c r="G2135" t="s"/>
      <c r="H2135" t="s"/>
      <c r="I2135" t="s"/>
      <c r="J2135" t="n">
        <v>-0.34</v>
      </c>
      <c r="K2135" t="n">
        <v>0.139</v>
      </c>
      <c r="L2135" t="n">
        <v>0.779</v>
      </c>
      <c r="M2135" t="n">
        <v>0.082</v>
      </c>
    </row>
    <row r="2136" spans="1:13">
      <c r="A2136" s="1">
        <f>HYPERLINK("http://www.twitter.com/NathanBLawrence/status/990681214917857280", "990681214917857280")</f>
        <v/>
      </c>
      <c r="B2136" s="2" t="n">
        <v>43219.83081018519</v>
      </c>
      <c r="C2136" t="n">
        <v>0</v>
      </c>
      <c r="D2136" t="n">
        <v>15311</v>
      </c>
      <c r="E2136" t="s">
        <v>2143</v>
      </c>
      <c r="F2136" t="s"/>
      <c r="G2136" t="s"/>
      <c r="H2136" t="s"/>
      <c r="I2136" t="s"/>
      <c r="J2136" t="n">
        <v>-0.4939</v>
      </c>
      <c r="K2136" t="n">
        <v>0.144</v>
      </c>
      <c r="L2136" t="n">
        <v>0.856</v>
      </c>
      <c r="M2136" t="n">
        <v>0</v>
      </c>
    </row>
    <row r="2137" spans="1:13">
      <c r="A2137" s="1">
        <f>HYPERLINK("http://www.twitter.com/NathanBLawrence/status/990681093098504192", "990681093098504192")</f>
        <v/>
      </c>
      <c r="B2137" s="2" t="n">
        <v>43219.83047453704</v>
      </c>
      <c r="C2137" t="n">
        <v>0</v>
      </c>
      <c r="D2137" t="n">
        <v>3257</v>
      </c>
      <c r="E2137" t="s">
        <v>2144</v>
      </c>
      <c r="F2137" t="s"/>
      <c r="G2137" t="s"/>
      <c r="H2137" t="s"/>
      <c r="I2137" t="s"/>
      <c r="J2137" t="n">
        <v>0</v>
      </c>
      <c r="K2137" t="n">
        <v>0</v>
      </c>
      <c r="L2137" t="n">
        <v>1</v>
      </c>
      <c r="M2137" t="n">
        <v>0</v>
      </c>
    </row>
    <row r="2138" spans="1:13">
      <c r="A2138" s="1">
        <f>HYPERLINK("http://www.twitter.com/NathanBLawrence/status/990681024559398912", "990681024559398912")</f>
        <v/>
      </c>
      <c r="B2138" s="2" t="n">
        <v>43219.83027777778</v>
      </c>
      <c r="C2138" t="n">
        <v>0</v>
      </c>
      <c r="D2138" t="n">
        <v>475</v>
      </c>
      <c r="E2138" t="s">
        <v>2145</v>
      </c>
      <c r="F2138" t="s"/>
      <c r="G2138" t="s"/>
      <c r="H2138" t="s"/>
      <c r="I2138" t="s"/>
      <c r="J2138" t="n">
        <v>-0.2263</v>
      </c>
      <c r="K2138" t="n">
        <v>0.073</v>
      </c>
      <c r="L2138" t="n">
        <v>0.887</v>
      </c>
      <c r="M2138" t="n">
        <v>0.041</v>
      </c>
    </row>
    <row r="2139" spans="1:13">
      <c r="A2139" s="1">
        <f>HYPERLINK("http://www.twitter.com/NathanBLawrence/status/990680873275088896", "990680873275088896")</f>
        <v/>
      </c>
      <c r="B2139" s="2" t="n">
        <v>43219.82986111111</v>
      </c>
      <c r="C2139" t="n">
        <v>0</v>
      </c>
      <c r="D2139" t="n">
        <v>22409</v>
      </c>
      <c r="E2139" t="s">
        <v>2146</v>
      </c>
      <c r="F2139" t="s"/>
      <c r="G2139" t="s"/>
      <c r="H2139" t="s"/>
      <c r="I2139" t="s"/>
      <c r="J2139" t="n">
        <v>-0.1531</v>
      </c>
      <c r="K2139" t="n">
        <v>0.149</v>
      </c>
      <c r="L2139" t="n">
        <v>0.726</v>
      </c>
      <c r="M2139" t="n">
        <v>0.125</v>
      </c>
    </row>
    <row r="2140" spans="1:13">
      <c r="A2140" s="1">
        <f>HYPERLINK("http://www.twitter.com/NathanBLawrence/status/990680785563762688", "990680785563762688")</f>
        <v/>
      </c>
      <c r="B2140" s="2" t="n">
        <v>43219.82961805556</v>
      </c>
      <c r="C2140" t="n">
        <v>0</v>
      </c>
      <c r="D2140" t="n">
        <v>669</v>
      </c>
      <c r="E2140" t="s">
        <v>2147</v>
      </c>
      <c r="F2140">
        <f>HYPERLINK("http://pbs.twimg.com/media/Db9509HU0AAUxDz.jpg", "http://pbs.twimg.com/media/Db9509HU0AAUxDz.jpg")</f>
        <v/>
      </c>
      <c r="G2140" t="s"/>
      <c r="H2140" t="s"/>
      <c r="I2140" t="s"/>
      <c r="J2140" t="n">
        <v>0</v>
      </c>
      <c r="K2140" t="n">
        <v>0</v>
      </c>
      <c r="L2140" t="n">
        <v>1</v>
      </c>
      <c r="M2140" t="n">
        <v>0</v>
      </c>
    </row>
    <row r="2141" spans="1:13">
      <c r="A2141" s="1">
        <f>HYPERLINK("http://www.twitter.com/NathanBLawrence/status/990680668332945409", "990680668332945409")</f>
        <v/>
      </c>
      <c r="B2141" s="2" t="n">
        <v>43219.82929398148</v>
      </c>
      <c r="C2141" t="n">
        <v>0</v>
      </c>
      <c r="D2141" t="n">
        <v>806</v>
      </c>
      <c r="E2141" t="s">
        <v>2148</v>
      </c>
      <c r="F2141" t="s"/>
      <c r="G2141" t="s"/>
      <c r="H2141" t="s"/>
      <c r="I2141" t="s"/>
      <c r="J2141" t="n">
        <v>0.8804999999999999</v>
      </c>
      <c r="K2141" t="n">
        <v>0</v>
      </c>
      <c r="L2141" t="n">
        <v>0.662</v>
      </c>
      <c r="M2141" t="n">
        <v>0.338</v>
      </c>
    </row>
    <row r="2142" spans="1:13">
      <c r="A2142" s="1">
        <f>HYPERLINK("http://www.twitter.com/NathanBLawrence/status/990680604583706624", "990680604583706624")</f>
        <v/>
      </c>
      <c r="B2142" s="2" t="n">
        <v>43219.82912037037</v>
      </c>
      <c r="C2142" t="n">
        <v>0</v>
      </c>
      <c r="D2142" t="n">
        <v>4526</v>
      </c>
      <c r="E2142" t="s">
        <v>2149</v>
      </c>
      <c r="F2142" t="s"/>
      <c r="G2142" t="s"/>
      <c r="H2142" t="s"/>
      <c r="I2142" t="s"/>
      <c r="J2142" t="n">
        <v>-0.7184</v>
      </c>
      <c r="K2142" t="n">
        <v>0.273</v>
      </c>
      <c r="L2142" t="n">
        <v>0.727</v>
      </c>
      <c r="M2142" t="n">
        <v>0</v>
      </c>
    </row>
    <row r="2143" spans="1:13">
      <c r="A2143" s="1">
        <f>HYPERLINK("http://www.twitter.com/NathanBLawrence/status/990680519061921792", "990680519061921792")</f>
        <v/>
      </c>
      <c r="B2143" s="2" t="n">
        <v>43219.82888888889</v>
      </c>
      <c r="C2143" t="n">
        <v>0</v>
      </c>
      <c r="D2143" t="n">
        <v>10884</v>
      </c>
      <c r="E2143" t="s">
        <v>2150</v>
      </c>
      <c r="F2143" t="s"/>
      <c r="G2143" t="s"/>
      <c r="H2143" t="s"/>
      <c r="I2143" t="s"/>
      <c r="J2143" t="n">
        <v>-0.0516</v>
      </c>
      <c r="K2143" t="n">
        <v>0.107</v>
      </c>
      <c r="L2143" t="n">
        <v>0.794</v>
      </c>
      <c r="M2143" t="n">
        <v>0.099</v>
      </c>
    </row>
    <row r="2144" spans="1:13">
      <c r="A2144" s="1">
        <f>HYPERLINK("http://www.twitter.com/NathanBLawrence/status/990639683272151040", "990639683272151040")</f>
        <v/>
      </c>
      <c r="B2144" s="2" t="n">
        <v>43219.71620370371</v>
      </c>
      <c r="C2144" t="n">
        <v>0</v>
      </c>
      <c r="D2144" t="n">
        <v>1901</v>
      </c>
      <c r="E2144" t="s">
        <v>2151</v>
      </c>
      <c r="F2144" t="s"/>
      <c r="G2144" t="s"/>
      <c r="H2144" t="s"/>
      <c r="I2144" t="s"/>
      <c r="J2144" t="n">
        <v>-0.6124000000000001</v>
      </c>
      <c r="K2144" t="n">
        <v>0.28</v>
      </c>
      <c r="L2144" t="n">
        <v>0.541</v>
      </c>
      <c r="M2144" t="n">
        <v>0.179</v>
      </c>
    </row>
    <row r="2145" spans="1:13">
      <c r="A2145" s="1">
        <f>HYPERLINK("http://www.twitter.com/NathanBLawrence/status/990639378501394435", "990639378501394435")</f>
        <v/>
      </c>
      <c r="B2145" s="2" t="n">
        <v>43219.7153587963</v>
      </c>
      <c r="C2145" t="n">
        <v>0</v>
      </c>
      <c r="D2145" t="n">
        <v>3148</v>
      </c>
      <c r="E2145" t="s">
        <v>2152</v>
      </c>
      <c r="F2145" t="s"/>
      <c r="G2145" t="s"/>
      <c r="H2145" t="s"/>
      <c r="I2145" t="s"/>
      <c r="J2145" t="n">
        <v>0.93</v>
      </c>
      <c r="K2145" t="n">
        <v>0</v>
      </c>
      <c r="L2145" t="n">
        <v>0.549</v>
      </c>
      <c r="M2145" t="n">
        <v>0.451</v>
      </c>
    </row>
    <row r="2146" spans="1:13">
      <c r="A2146" s="1">
        <f>HYPERLINK("http://www.twitter.com/NathanBLawrence/status/990639290777563136", "990639290777563136")</f>
        <v/>
      </c>
      <c r="B2146" s="2" t="n">
        <v>43219.71511574074</v>
      </c>
      <c r="C2146" t="n">
        <v>0</v>
      </c>
      <c r="D2146" t="n">
        <v>2262</v>
      </c>
      <c r="E2146" t="s">
        <v>2153</v>
      </c>
      <c r="F2146" t="s"/>
      <c r="G2146" t="s"/>
      <c r="H2146" t="s"/>
      <c r="I2146" t="s"/>
      <c r="J2146" t="n">
        <v>0.1335</v>
      </c>
      <c r="K2146" t="n">
        <v>0.137</v>
      </c>
      <c r="L2146" t="n">
        <v>0.67</v>
      </c>
      <c r="M2146" t="n">
        <v>0.193</v>
      </c>
    </row>
    <row r="2147" spans="1:13">
      <c r="A2147" s="1">
        <f>HYPERLINK("http://www.twitter.com/NathanBLawrence/status/990639209135435777", "990639209135435777")</f>
        <v/>
      </c>
      <c r="B2147" s="2" t="n">
        <v>43219.71489583333</v>
      </c>
      <c r="C2147" t="n">
        <v>0</v>
      </c>
      <c r="D2147" t="n">
        <v>2785</v>
      </c>
      <c r="E2147" t="s">
        <v>2154</v>
      </c>
      <c r="F2147" t="s"/>
      <c r="G2147" t="s"/>
      <c r="H2147" t="s"/>
      <c r="I2147" t="s"/>
      <c r="J2147" t="n">
        <v>0.2023</v>
      </c>
      <c r="K2147" t="n">
        <v>0.119</v>
      </c>
      <c r="L2147" t="n">
        <v>0.734</v>
      </c>
      <c r="M2147" t="n">
        <v>0.147</v>
      </c>
    </row>
    <row r="2148" spans="1:13">
      <c r="A2148" s="1">
        <f>HYPERLINK("http://www.twitter.com/NathanBLawrence/status/990639064910049281", "990639064910049281")</f>
        <v/>
      </c>
      <c r="B2148" s="2" t="n">
        <v>43219.71449074074</v>
      </c>
      <c r="C2148" t="n">
        <v>0</v>
      </c>
      <c r="D2148" t="n">
        <v>21144</v>
      </c>
      <c r="E2148" t="s">
        <v>2155</v>
      </c>
      <c r="F2148" t="s"/>
      <c r="G2148" t="s"/>
      <c r="H2148" t="s"/>
      <c r="I2148" t="s"/>
      <c r="J2148" t="n">
        <v>0.9042</v>
      </c>
      <c r="K2148" t="n">
        <v>0</v>
      </c>
      <c r="L2148" t="n">
        <v>0.629</v>
      </c>
      <c r="M2148" t="n">
        <v>0.371</v>
      </c>
    </row>
    <row r="2149" spans="1:13">
      <c r="A2149" s="1">
        <f>HYPERLINK("http://www.twitter.com/NathanBLawrence/status/990638756582576130", "990638756582576130")</f>
        <v/>
      </c>
      <c r="B2149" s="2" t="n">
        <v>43219.71364583333</v>
      </c>
      <c r="C2149" t="n">
        <v>0</v>
      </c>
      <c r="D2149" t="n">
        <v>472</v>
      </c>
      <c r="E2149" t="s">
        <v>2156</v>
      </c>
      <c r="F2149">
        <f>HYPERLINK("https://video.twimg.com/ext_tw_video/990607055445573632/pu/vid/640x360/mln5D6pc1oYMdFSq.mp4?tag=3", "https://video.twimg.com/ext_tw_video/990607055445573632/pu/vid/640x360/mln5D6pc1oYMdFSq.mp4?tag=3")</f>
        <v/>
      </c>
      <c r="G2149" t="s"/>
      <c r="H2149" t="s"/>
      <c r="I2149" t="s"/>
      <c r="J2149" t="n">
        <v>0.8902</v>
      </c>
      <c r="K2149" t="n">
        <v>0</v>
      </c>
      <c r="L2149" t="n">
        <v>0.626</v>
      </c>
      <c r="M2149" t="n">
        <v>0.374</v>
      </c>
    </row>
    <row r="2150" spans="1:13">
      <c r="A2150" s="1">
        <f>HYPERLINK("http://www.twitter.com/NathanBLawrence/status/990638707643441158", "990638707643441158")</f>
        <v/>
      </c>
      <c r="B2150" s="2" t="n">
        <v>43219.71350694444</v>
      </c>
      <c r="C2150" t="n">
        <v>0</v>
      </c>
      <c r="D2150" t="n">
        <v>3500</v>
      </c>
      <c r="E2150" t="s">
        <v>2157</v>
      </c>
      <c r="F2150" t="s"/>
      <c r="G2150" t="s"/>
      <c r="H2150" t="s"/>
      <c r="I2150" t="s"/>
      <c r="J2150" t="n">
        <v>0.8270999999999999</v>
      </c>
      <c r="K2150" t="n">
        <v>0</v>
      </c>
      <c r="L2150" t="n">
        <v>0.648</v>
      </c>
      <c r="M2150" t="n">
        <v>0.352</v>
      </c>
    </row>
    <row r="2151" spans="1:13">
      <c r="A2151" s="1">
        <f>HYPERLINK("http://www.twitter.com/NathanBLawrence/status/990638528836096004", "990638528836096004")</f>
        <v/>
      </c>
      <c r="B2151" s="2" t="n">
        <v>43219.71302083333</v>
      </c>
      <c r="C2151" t="n">
        <v>0</v>
      </c>
      <c r="D2151" t="n">
        <v>1307</v>
      </c>
      <c r="E2151" t="s">
        <v>2158</v>
      </c>
      <c r="F2151" t="s"/>
      <c r="G2151" t="s"/>
      <c r="H2151" t="s"/>
      <c r="I2151" t="s"/>
      <c r="J2151" t="n">
        <v>0</v>
      </c>
      <c r="K2151" t="n">
        <v>0</v>
      </c>
      <c r="L2151" t="n">
        <v>1</v>
      </c>
      <c r="M2151" t="n">
        <v>0</v>
      </c>
    </row>
    <row r="2152" spans="1:13">
      <c r="A2152" s="1">
        <f>HYPERLINK("http://www.twitter.com/NathanBLawrence/status/990638398682607616", "990638398682607616")</f>
        <v/>
      </c>
      <c r="B2152" s="2" t="n">
        <v>43219.71266203704</v>
      </c>
      <c r="C2152" t="n">
        <v>0</v>
      </c>
      <c r="D2152" t="n">
        <v>250</v>
      </c>
      <c r="E2152" t="s">
        <v>2159</v>
      </c>
      <c r="F2152" t="s"/>
      <c r="G2152" t="s"/>
      <c r="H2152" t="s"/>
      <c r="I2152" t="s"/>
      <c r="J2152" t="n">
        <v>0.8555</v>
      </c>
      <c r="K2152" t="n">
        <v>0</v>
      </c>
      <c r="L2152" t="n">
        <v>0.669</v>
      </c>
      <c r="M2152" t="n">
        <v>0.331</v>
      </c>
    </row>
    <row r="2153" spans="1:13">
      <c r="A2153" s="1">
        <f>HYPERLINK("http://www.twitter.com/NathanBLawrence/status/990638076572635136", "990638076572635136")</f>
        <v/>
      </c>
      <c r="B2153" s="2" t="n">
        <v>43219.71177083333</v>
      </c>
      <c r="C2153" t="n">
        <v>0</v>
      </c>
      <c r="D2153" t="n">
        <v>534</v>
      </c>
      <c r="E2153" t="s">
        <v>2160</v>
      </c>
      <c r="F2153" t="s"/>
      <c r="G2153" t="s"/>
      <c r="H2153" t="s"/>
      <c r="I2153" t="s"/>
      <c r="J2153" t="n">
        <v>-0.0258</v>
      </c>
      <c r="K2153" t="n">
        <v>0.124</v>
      </c>
      <c r="L2153" t="n">
        <v>0.722</v>
      </c>
      <c r="M2153" t="n">
        <v>0.155</v>
      </c>
    </row>
    <row r="2154" spans="1:13">
      <c r="A2154" s="1">
        <f>HYPERLINK("http://www.twitter.com/NathanBLawrence/status/990637849652408321", "990637849652408321")</f>
        <v/>
      </c>
      <c r="B2154" s="2" t="n">
        <v>43219.71114583333</v>
      </c>
      <c r="C2154" t="n">
        <v>0</v>
      </c>
      <c r="D2154" t="n">
        <v>2929</v>
      </c>
      <c r="E2154" t="s">
        <v>2161</v>
      </c>
      <c r="F2154">
        <f>HYPERLINK("https://video.twimg.com/ext_tw_video/990511679220822016/pu/vid/640x360/8-P8ru_0u1ovlVUy.mp4?tag=3", "https://video.twimg.com/ext_tw_video/990511679220822016/pu/vid/640x360/8-P8ru_0u1ovlVUy.mp4?tag=3")</f>
        <v/>
      </c>
      <c r="G2154" t="s"/>
      <c r="H2154" t="s"/>
      <c r="I2154" t="s"/>
      <c r="J2154" t="n">
        <v>-0.6597</v>
      </c>
      <c r="K2154" t="n">
        <v>0.297</v>
      </c>
      <c r="L2154" t="n">
        <v>0.593</v>
      </c>
      <c r="M2154" t="n">
        <v>0.11</v>
      </c>
    </row>
    <row r="2155" spans="1:13">
      <c r="A2155" s="1">
        <f>HYPERLINK("http://www.twitter.com/NathanBLawrence/status/990637545477287936", "990637545477287936")</f>
        <v/>
      </c>
      <c r="B2155" s="2" t="n">
        <v>43219.71030092592</v>
      </c>
      <c r="C2155" t="n">
        <v>0</v>
      </c>
      <c r="D2155" t="n">
        <v>3</v>
      </c>
      <c r="E2155" t="s">
        <v>2162</v>
      </c>
      <c r="F2155" t="s"/>
      <c r="G2155" t="s"/>
      <c r="H2155" t="s"/>
      <c r="I2155" t="s"/>
      <c r="J2155" t="n">
        <v>-0.2008</v>
      </c>
      <c r="K2155" t="n">
        <v>0.13</v>
      </c>
      <c r="L2155" t="n">
        <v>0.772</v>
      </c>
      <c r="M2155" t="n">
        <v>0.098</v>
      </c>
    </row>
    <row r="2156" spans="1:13">
      <c r="A2156" s="1">
        <f>HYPERLINK("http://www.twitter.com/NathanBLawrence/status/990637480050339840", "990637480050339840")</f>
        <v/>
      </c>
      <c r="B2156" s="2" t="n">
        <v>43219.71012731481</v>
      </c>
      <c r="C2156" t="n">
        <v>0</v>
      </c>
      <c r="D2156" t="n">
        <v>3</v>
      </c>
      <c r="E2156" t="s">
        <v>2163</v>
      </c>
      <c r="F2156" t="s"/>
      <c r="G2156" t="s"/>
      <c r="H2156" t="s"/>
      <c r="I2156" t="s"/>
      <c r="J2156" t="n">
        <v>0.6249</v>
      </c>
      <c r="K2156" t="n">
        <v>0</v>
      </c>
      <c r="L2156" t="n">
        <v>0.6830000000000001</v>
      </c>
      <c r="M2156" t="n">
        <v>0.317</v>
      </c>
    </row>
    <row r="2157" spans="1:13">
      <c r="A2157" s="1">
        <f>HYPERLINK("http://www.twitter.com/NathanBLawrence/status/990637453789810689", "990637453789810689")</f>
        <v/>
      </c>
      <c r="B2157" s="2" t="n">
        <v>43219.7100462963</v>
      </c>
      <c r="C2157" t="n">
        <v>0</v>
      </c>
      <c r="D2157" t="n">
        <v>31</v>
      </c>
      <c r="E2157" t="s">
        <v>2164</v>
      </c>
      <c r="F2157" t="s"/>
      <c r="G2157" t="s"/>
      <c r="H2157" t="s"/>
      <c r="I2157" t="s"/>
      <c r="J2157" t="n">
        <v>-0.2577</v>
      </c>
      <c r="K2157" t="n">
        <v>0.097</v>
      </c>
      <c r="L2157" t="n">
        <v>0.903</v>
      </c>
      <c r="M2157" t="n">
        <v>0</v>
      </c>
    </row>
    <row r="2158" spans="1:13">
      <c r="A2158" s="1">
        <f>HYPERLINK("http://www.twitter.com/NathanBLawrence/status/990637272184782851", "990637272184782851")</f>
        <v/>
      </c>
      <c r="B2158" s="2" t="n">
        <v>43219.70954861111</v>
      </c>
      <c r="C2158" t="n">
        <v>0</v>
      </c>
      <c r="D2158" t="n">
        <v>6371</v>
      </c>
      <c r="E2158" t="s">
        <v>2165</v>
      </c>
      <c r="F2158" t="s"/>
      <c r="G2158" t="s"/>
      <c r="H2158" t="s"/>
      <c r="I2158" t="s"/>
      <c r="J2158" t="n">
        <v>-0.0258</v>
      </c>
      <c r="K2158" t="n">
        <v>0.128</v>
      </c>
      <c r="L2158" t="n">
        <v>0.783</v>
      </c>
      <c r="M2158" t="n">
        <v>0.089</v>
      </c>
    </row>
    <row r="2159" spans="1:13">
      <c r="A2159" s="1">
        <f>HYPERLINK("http://www.twitter.com/NathanBLawrence/status/990637100537188352", "990637100537188352")</f>
        <v/>
      </c>
      <c r="B2159" s="2" t="n">
        <v>43219.70907407408</v>
      </c>
      <c r="C2159" t="n">
        <v>0</v>
      </c>
      <c r="D2159" t="n">
        <v>2</v>
      </c>
      <c r="E2159" t="s">
        <v>2166</v>
      </c>
      <c r="F2159" t="s"/>
      <c r="G2159" t="s"/>
      <c r="H2159" t="s"/>
      <c r="I2159" t="s"/>
      <c r="J2159" t="n">
        <v>-0.802</v>
      </c>
      <c r="K2159" t="n">
        <v>0.324</v>
      </c>
      <c r="L2159" t="n">
        <v>0.676</v>
      </c>
      <c r="M2159" t="n">
        <v>0</v>
      </c>
    </row>
    <row r="2160" spans="1:13">
      <c r="A2160" s="1">
        <f>HYPERLINK("http://www.twitter.com/NathanBLawrence/status/990637018454642688", "990637018454642688")</f>
        <v/>
      </c>
      <c r="B2160" s="2" t="n">
        <v>43219.70885416667</v>
      </c>
      <c r="C2160" t="n">
        <v>0</v>
      </c>
      <c r="D2160" t="n">
        <v>3</v>
      </c>
      <c r="E2160" t="s">
        <v>2167</v>
      </c>
      <c r="F2160" t="s"/>
      <c r="G2160" t="s"/>
      <c r="H2160" t="s"/>
      <c r="I2160" t="s"/>
      <c r="J2160" t="n">
        <v>0</v>
      </c>
      <c r="K2160" t="n">
        <v>0</v>
      </c>
      <c r="L2160" t="n">
        <v>1</v>
      </c>
      <c r="M2160" t="n">
        <v>0</v>
      </c>
    </row>
    <row r="2161" spans="1:13">
      <c r="A2161" s="1">
        <f>HYPERLINK("http://www.twitter.com/NathanBLawrence/status/990636951500935168", "990636951500935168")</f>
        <v/>
      </c>
      <c r="B2161" s="2" t="n">
        <v>43219.70866898148</v>
      </c>
      <c r="C2161" t="n">
        <v>0</v>
      </c>
      <c r="D2161" t="n">
        <v>2</v>
      </c>
      <c r="E2161" t="s">
        <v>2168</v>
      </c>
      <c r="F2161" t="s"/>
      <c r="G2161" t="s"/>
      <c r="H2161" t="s"/>
      <c r="I2161" t="s"/>
      <c r="J2161" t="n">
        <v>0.7139</v>
      </c>
      <c r="K2161" t="n">
        <v>0.047</v>
      </c>
      <c r="L2161" t="n">
        <v>0.71</v>
      </c>
      <c r="M2161" t="n">
        <v>0.243</v>
      </c>
    </row>
    <row r="2162" spans="1:13">
      <c r="A2162" s="1">
        <f>HYPERLINK("http://www.twitter.com/NathanBLawrence/status/990636853354221568", "990636853354221568")</f>
        <v/>
      </c>
      <c r="B2162" s="2" t="n">
        <v>43219.70839120371</v>
      </c>
      <c r="C2162" t="n">
        <v>0</v>
      </c>
      <c r="D2162" t="n">
        <v>2</v>
      </c>
      <c r="E2162" t="s">
        <v>2169</v>
      </c>
      <c r="F2162">
        <f>HYPERLINK("http://pbs.twimg.com/media/Db9ihtTVQAAOLf7.jpg", "http://pbs.twimg.com/media/Db9ihtTVQAAOLf7.jpg")</f>
        <v/>
      </c>
      <c r="G2162" t="s"/>
      <c r="H2162" t="s"/>
      <c r="I2162" t="s"/>
      <c r="J2162" t="n">
        <v>0</v>
      </c>
      <c r="K2162" t="n">
        <v>0</v>
      </c>
      <c r="L2162" t="n">
        <v>1</v>
      </c>
      <c r="M2162" t="n">
        <v>0</v>
      </c>
    </row>
    <row r="2163" spans="1:13">
      <c r="A2163" s="1">
        <f>HYPERLINK("http://www.twitter.com/NathanBLawrence/status/990636740464594944", "990636740464594944")</f>
        <v/>
      </c>
      <c r="B2163" s="2" t="n">
        <v>43219.7080787037</v>
      </c>
      <c r="C2163" t="n">
        <v>0</v>
      </c>
      <c r="D2163" t="n">
        <v>36</v>
      </c>
      <c r="E2163" t="s">
        <v>2170</v>
      </c>
      <c r="F2163">
        <f>HYPERLINK("http://pbs.twimg.com/media/Db9jANvWsAAchiY.jpg", "http://pbs.twimg.com/media/Db9jANvWsAAchiY.jpg")</f>
        <v/>
      </c>
      <c r="G2163" t="s"/>
      <c r="H2163" t="s"/>
      <c r="I2163" t="s"/>
      <c r="J2163" t="n">
        <v>0</v>
      </c>
      <c r="K2163" t="n">
        <v>0</v>
      </c>
      <c r="L2163" t="n">
        <v>1</v>
      </c>
      <c r="M2163" t="n">
        <v>0</v>
      </c>
    </row>
    <row r="2164" spans="1:13">
      <c r="A2164" s="1">
        <f>HYPERLINK("http://www.twitter.com/NathanBLawrence/status/990636650270208001", "990636650270208001")</f>
        <v/>
      </c>
      <c r="B2164" s="2" t="n">
        <v>43219.70783564815</v>
      </c>
      <c r="C2164" t="n">
        <v>0</v>
      </c>
      <c r="D2164" t="n">
        <v>5</v>
      </c>
      <c r="E2164" t="s">
        <v>2171</v>
      </c>
      <c r="F2164" t="s"/>
      <c r="G2164" t="s"/>
      <c r="H2164" t="s"/>
      <c r="I2164" t="s"/>
      <c r="J2164" t="n">
        <v>-0.2263</v>
      </c>
      <c r="K2164" t="n">
        <v>0.076</v>
      </c>
      <c r="L2164" t="n">
        <v>0.924</v>
      </c>
      <c r="M2164" t="n">
        <v>0</v>
      </c>
    </row>
    <row r="2165" spans="1:13">
      <c r="A2165" s="1">
        <f>HYPERLINK("http://www.twitter.com/NathanBLawrence/status/990636586319728640", "990636586319728640")</f>
        <v/>
      </c>
      <c r="B2165" s="2" t="n">
        <v>43219.70765046297</v>
      </c>
      <c r="C2165" t="n">
        <v>0</v>
      </c>
      <c r="D2165" t="n">
        <v>2490</v>
      </c>
      <c r="E2165" t="s">
        <v>2172</v>
      </c>
      <c r="F2165">
        <f>HYPERLINK("http://pbs.twimg.com/media/Db9hsJJW4AYWF_b.jpg", "http://pbs.twimg.com/media/Db9hsJJW4AYWF_b.jpg")</f>
        <v/>
      </c>
      <c r="G2165" t="s"/>
      <c r="H2165" t="s"/>
      <c r="I2165" t="s"/>
      <c r="J2165" t="n">
        <v>-0.5106000000000001</v>
      </c>
      <c r="K2165" t="n">
        <v>0.248</v>
      </c>
      <c r="L2165" t="n">
        <v>0.752</v>
      </c>
      <c r="M2165" t="n">
        <v>0</v>
      </c>
    </row>
    <row r="2166" spans="1:13">
      <c r="A2166" s="1">
        <f>HYPERLINK("http://www.twitter.com/NathanBLawrence/status/990636420145532928", "990636420145532928")</f>
        <v/>
      </c>
      <c r="B2166" s="2" t="n">
        <v>43219.70719907407</v>
      </c>
      <c r="C2166" t="n">
        <v>0</v>
      </c>
      <c r="D2166" t="n">
        <v>207</v>
      </c>
      <c r="E2166" t="s">
        <v>2173</v>
      </c>
      <c r="F2166" t="s"/>
      <c r="G2166" t="s"/>
      <c r="H2166" t="s"/>
      <c r="I2166" t="s"/>
      <c r="J2166" t="n">
        <v>0</v>
      </c>
      <c r="K2166" t="n">
        <v>0</v>
      </c>
      <c r="L2166" t="n">
        <v>1</v>
      </c>
      <c r="M2166" t="n">
        <v>0</v>
      </c>
    </row>
    <row r="2167" spans="1:13">
      <c r="A2167" s="1">
        <f>HYPERLINK("http://www.twitter.com/NathanBLawrence/status/990636194479378432", "990636194479378432")</f>
        <v/>
      </c>
      <c r="B2167" s="2" t="n">
        <v>43219.70657407407</v>
      </c>
      <c r="C2167" t="n">
        <v>0</v>
      </c>
      <c r="D2167" t="n">
        <v>804</v>
      </c>
      <c r="E2167" t="s">
        <v>2174</v>
      </c>
      <c r="F2167" t="s"/>
      <c r="G2167" t="s"/>
      <c r="H2167" t="s"/>
      <c r="I2167" t="s"/>
      <c r="J2167" t="n">
        <v>0.2263</v>
      </c>
      <c r="K2167" t="n">
        <v>0.112</v>
      </c>
      <c r="L2167" t="n">
        <v>0.743</v>
      </c>
      <c r="M2167" t="n">
        <v>0.145</v>
      </c>
    </row>
    <row r="2168" spans="1:13">
      <c r="A2168" s="1">
        <f>HYPERLINK("http://www.twitter.com/NathanBLawrence/status/990636075633737731", "990636075633737731")</f>
        <v/>
      </c>
      <c r="B2168" s="2" t="n">
        <v>43219.70625</v>
      </c>
      <c r="C2168" t="n">
        <v>0</v>
      </c>
      <c r="D2168" t="n">
        <v>3190</v>
      </c>
      <c r="E2168" t="s">
        <v>2175</v>
      </c>
      <c r="F2168" t="s"/>
      <c r="G2168" t="s"/>
      <c r="H2168" t="s"/>
      <c r="I2168" t="s"/>
      <c r="J2168" t="n">
        <v>0.4939</v>
      </c>
      <c r="K2168" t="n">
        <v>0</v>
      </c>
      <c r="L2168" t="n">
        <v>0.873</v>
      </c>
      <c r="M2168" t="n">
        <v>0.127</v>
      </c>
    </row>
    <row r="2169" spans="1:13">
      <c r="A2169" s="1">
        <f>HYPERLINK("http://www.twitter.com/NathanBLawrence/status/990635894859358208", "990635894859358208")</f>
        <v/>
      </c>
      <c r="B2169" s="2" t="n">
        <v>43219.70575231482</v>
      </c>
      <c r="C2169" t="n">
        <v>0</v>
      </c>
      <c r="D2169" t="n">
        <v>11410</v>
      </c>
      <c r="E2169" t="s">
        <v>2176</v>
      </c>
      <c r="F2169" t="s"/>
      <c r="G2169" t="s"/>
      <c r="H2169" t="s"/>
      <c r="I2169" t="s"/>
      <c r="J2169" t="n">
        <v>-0.743</v>
      </c>
      <c r="K2169" t="n">
        <v>0.441</v>
      </c>
      <c r="L2169" t="n">
        <v>0.5590000000000001</v>
      </c>
      <c r="M2169" t="n">
        <v>0</v>
      </c>
    </row>
    <row r="2170" spans="1:13">
      <c r="A2170" s="1">
        <f>HYPERLINK("http://www.twitter.com/NathanBLawrence/status/990635842279497730", "990635842279497730")</f>
        <v/>
      </c>
      <c r="B2170" s="2" t="n">
        <v>43219.70560185185</v>
      </c>
      <c r="C2170" t="n">
        <v>0</v>
      </c>
      <c r="D2170" t="n">
        <v>2787</v>
      </c>
      <c r="E2170" t="s">
        <v>2177</v>
      </c>
      <c r="F2170" t="s"/>
      <c r="G2170" t="s"/>
      <c r="H2170" t="s"/>
      <c r="I2170" t="s"/>
      <c r="J2170" t="n">
        <v>0.6597</v>
      </c>
      <c r="K2170" t="n">
        <v>0</v>
      </c>
      <c r="L2170" t="n">
        <v>0.803</v>
      </c>
      <c r="M2170" t="n">
        <v>0.197</v>
      </c>
    </row>
    <row r="2171" spans="1:13">
      <c r="A2171" s="1">
        <f>HYPERLINK("http://www.twitter.com/NathanBLawrence/status/990635646720061440", "990635646720061440")</f>
        <v/>
      </c>
      <c r="B2171" s="2" t="n">
        <v>43219.70505787037</v>
      </c>
      <c r="C2171" t="n">
        <v>0</v>
      </c>
      <c r="D2171" t="n">
        <v>7806</v>
      </c>
      <c r="E2171" t="s">
        <v>2178</v>
      </c>
      <c r="F2171" t="s"/>
      <c r="G2171" t="s"/>
      <c r="H2171" t="s"/>
      <c r="I2171" t="s"/>
      <c r="J2171" t="n">
        <v>0.8316</v>
      </c>
      <c r="K2171" t="n">
        <v>0</v>
      </c>
      <c r="L2171" t="n">
        <v>0.672</v>
      </c>
      <c r="M2171" t="n">
        <v>0.328</v>
      </c>
    </row>
    <row r="2172" spans="1:13">
      <c r="A2172" s="1">
        <f>HYPERLINK("http://www.twitter.com/NathanBLawrence/status/990635403232374784", "990635403232374784")</f>
        <v/>
      </c>
      <c r="B2172" s="2" t="n">
        <v>43219.70438657407</v>
      </c>
      <c r="C2172" t="n">
        <v>0</v>
      </c>
      <c r="D2172" t="n">
        <v>4434</v>
      </c>
      <c r="E2172" t="s">
        <v>2179</v>
      </c>
      <c r="F2172">
        <f>HYPERLINK("https://video.twimg.com/amplify_video/990616727707938816/vid/318x180/NhQwSp1TDaqQnbBl.mp4?tag=2", "https://video.twimg.com/amplify_video/990616727707938816/vid/318x180/NhQwSp1TDaqQnbBl.mp4?tag=2")</f>
        <v/>
      </c>
      <c r="G2172" t="s"/>
      <c r="H2172" t="s"/>
      <c r="I2172" t="s"/>
      <c r="J2172" t="n">
        <v>-0.5994</v>
      </c>
      <c r="K2172" t="n">
        <v>0.14</v>
      </c>
      <c r="L2172" t="n">
        <v>0.86</v>
      </c>
      <c r="M2172" t="n">
        <v>0</v>
      </c>
    </row>
    <row r="2173" spans="1:13">
      <c r="A2173" s="1">
        <f>HYPERLINK("http://www.twitter.com/NathanBLawrence/status/990635221447073794", "990635221447073794")</f>
        <v/>
      </c>
      <c r="B2173" s="2" t="n">
        <v>43219.70388888889</v>
      </c>
      <c r="C2173" t="n">
        <v>0</v>
      </c>
      <c r="D2173" t="n">
        <v>877</v>
      </c>
      <c r="E2173" t="s">
        <v>2180</v>
      </c>
      <c r="F2173">
        <f>HYPERLINK("http://pbs.twimg.com/media/Db9vIseUQAAmu_E.jpg", "http://pbs.twimg.com/media/Db9vIseUQAAmu_E.jpg")</f>
        <v/>
      </c>
      <c r="G2173" t="s"/>
      <c r="H2173" t="s"/>
      <c r="I2173" t="s"/>
      <c r="J2173" t="n">
        <v>0</v>
      </c>
      <c r="K2173" t="n">
        <v>0</v>
      </c>
      <c r="L2173" t="n">
        <v>1</v>
      </c>
      <c r="M2173" t="n">
        <v>0</v>
      </c>
    </row>
    <row r="2174" spans="1:13">
      <c r="A2174" s="1">
        <f>HYPERLINK("http://www.twitter.com/NathanBLawrence/status/990635003062210562", "990635003062210562")</f>
        <v/>
      </c>
      <c r="B2174" s="2" t="n">
        <v>43219.70328703704</v>
      </c>
      <c r="C2174" t="n">
        <v>0</v>
      </c>
      <c r="D2174" t="n">
        <v>7397</v>
      </c>
      <c r="E2174" t="s">
        <v>2181</v>
      </c>
      <c r="F2174" t="s"/>
      <c r="G2174" t="s"/>
      <c r="H2174" t="s"/>
      <c r="I2174" t="s"/>
      <c r="J2174" t="n">
        <v>-0.5994</v>
      </c>
      <c r="K2174" t="n">
        <v>0.151</v>
      </c>
      <c r="L2174" t="n">
        <v>0.849</v>
      </c>
      <c r="M2174" t="n">
        <v>0</v>
      </c>
    </row>
    <row r="2175" spans="1:13">
      <c r="A2175" s="1">
        <f>HYPERLINK("http://www.twitter.com/NathanBLawrence/status/990634632742948865", "990634632742948865")</f>
        <v/>
      </c>
      <c r="B2175" s="2" t="n">
        <v>43219.70226851852</v>
      </c>
      <c r="C2175" t="n">
        <v>0</v>
      </c>
      <c r="D2175" t="n">
        <v>10202</v>
      </c>
      <c r="E2175" t="s">
        <v>2182</v>
      </c>
      <c r="F2175" t="s"/>
      <c r="G2175" t="s"/>
      <c r="H2175" t="s"/>
      <c r="I2175" t="s"/>
      <c r="J2175" t="n">
        <v>-0.2732</v>
      </c>
      <c r="K2175" t="n">
        <v>0.179</v>
      </c>
      <c r="L2175" t="n">
        <v>0.717</v>
      </c>
      <c r="M2175" t="n">
        <v>0.104</v>
      </c>
    </row>
    <row r="2176" spans="1:13">
      <c r="A2176" s="1">
        <f>HYPERLINK("http://www.twitter.com/NathanBLawrence/status/990477208132108288", "990477208132108288")</f>
        <v/>
      </c>
      <c r="B2176" s="2" t="n">
        <v>43219.26785879629</v>
      </c>
      <c r="C2176" t="n">
        <v>0</v>
      </c>
      <c r="D2176" t="n">
        <v>4096</v>
      </c>
      <c r="E2176" t="s">
        <v>2183</v>
      </c>
      <c r="F2176">
        <f>HYPERLINK("http://pbs.twimg.com/media/Db4zhy4X4AYGPHL.jpg", "http://pbs.twimg.com/media/Db4zhy4X4AYGPHL.jpg")</f>
        <v/>
      </c>
      <c r="G2176" t="s"/>
      <c r="H2176" t="s"/>
      <c r="I2176" t="s"/>
      <c r="J2176" t="n">
        <v>0.2732</v>
      </c>
      <c r="K2176" t="n">
        <v>0.105</v>
      </c>
      <c r="L2176" t="n">
        <v>0.751</v>
      </c>
      <c r="M2176" t="n">
        <v>0.144</v>
      </c>
    </row>
    <row r="2177" spans="1:13">
      <c r="A2177" s="1">
        <f>HYPERLINK("http://www.twitter.com/NathanBLawrence/status/990477071921987584", "990477071921987584")</f>
        <v/>
      </c>
      <c r="B2177" s="2" t="n">
        <v>43219.26747685186</v>
      </c>
      <c r="C2177" t="n">
        <v>0</v>
      </c>
      <c r="D2177" t="n">
        <v>238</v>
      </c>
      <c r="E2177" t="s">
        <v>2184</v>
      </c>
      <c r="F2177" t="s"/>
      <c r="G2177" t="s"/>
      <c r="H2177" t="s"/>
      <c r="I2177" t="s"/>
      <c r="J2177" t="n">
        <v>0</v>
      </c>
      <c r="K2177" t="n">
        <v>0</v>
      </c>
      <c r="L2177" t="n">
        <v>1</v>
      </c>
      <c r="M2177" t="n">
        <v>0</v>
      </c>
    </row>
    <row r="2178" spans="1:13">
      <c r="A2178" s="1">
        <f>HYPERLINK("http://www.twitter.com/NathanBLawrence/status/990476785824382977", "990476785824382977")</f>
        <v/>
      </c>
      <c r="B2178" s="2" t="n">
        <v>43219.26668981482</v>
      </c>
      <c r="C2178" t="n">
        <v>1</v>
      </c>
      <c r="D2178" t="n">
        <v>1</v>
      </c>
      <c r="E2178" t="s">
        <v>2185</v>
      </c>
      <c r="F2178" t="s"/>
      <c r="G2178" t="s"/>
      <c r="H2178" t="s"/>
      <c r="I2178" t="s"/>
      <c r="J2178" t="n">
        <v>-0.6211</v>
      </c>
      <c r="K2178" t="n">
        <v>0.192</v>
      </c>
      <c r="L2178" t="n">
        <v>0.707</v>
      </c>
      <c r="M2178" t="n">
        <v>0.102</v>
      </c>
    </row>
    <row r="2179" spans="1:13">
      <c r="A2179" s="1">
        <f>HYPERLINK("http://www.twitter.com/NathanBLawrence/status/990476559394816000", "990476559394816000")</f>
        <v/>
      </c>
      <c r="B2179" s="2" t="n">
        <v>43219.26606481482</v>
      </c>
      <c r="C2179" t="n">
        <v>1</v>
      </c>
      <c r="D2179" t="n">
        <v>1</v>
      </c>
      <c r="E2179" t="s">
        <v>2186</v>
      </c>
      <c r="F2179" t="s"/>
      <c r="G2179" t="s"/>
      <c r="H2179" t="s"/>
      <c r="I2179" t="s"/>
      <c r="J2179" t="n">
        <v>-0.4995</v>
      </c>
      <c r="K2179" t="n">
        <v>0.179</v>
      </c>
      <c r="L2179" t="n">
        <v>0.746</v>
      </c>
      <c r="M2179" t="n">
        <v>0.075</v>
      </c>
    </row>
    <row r="2180" spans="1:13">
      <c r="A2180" s="1">
        <f>HYPERLINK("http://www.twitter.com/NathanBLawrence/status/990475717275090944", "990475717275090944")</f>
        <v/>
      </c>
      <c r="B2180" s="2" t="n">
        <v>43219.26373842593</v>
      </c>
      <c r="C2180" t="n">
        <v>6</v>
      </c>
      <c r="D2180" t="n">
        <v>0</v>
      </c>
      <c r="E2180" t="s">
        <v>2187</v>
      </c>
      <c r="F2180" t="s"/>
      <c r="G2180" t="s"/>
      <c r="H2180" t="s"/>
      <c r="I2180" t="s"/>
      <c r="J2180" t="n">
        <v>-0.3291</v>
      </c>
      <c r="K2180" t="n">
        <v>0.162</v>
      </c>
      <c r="L2180" t="n">
        <v>0.754</v>
      </c>
      <c r="M2180" t="n">
        <v>0.08400000000000001</v>
      </c>
    </row>
    <row r="2181" spans="1:13">
      <c r="A2181" s="1">
        <f>HYPERLINK("http://www.twitter.com/NathanBLawrence/status/990475300998807553", "990475300998807553")</f>
        <v/>
      </c>
      <c r="B2181" s="2" t="n">
        <v>43219.26259259259</v>
      </c>
      <c r="C2181" t="n">
        <v>4</v>
      </c>
      <c r="D2181" t="n">
        <v>0</v>
      </c>
      <c r="E2181" t="s">
        <v>2188</v>
      </c>
      <c r="F2181" t="s"/>
      <c r="G2181" t="s"/>
      <c r="H2181" t="s"/>
      <c r="I2181" t="s"/>
      <c r="J2181" t="n">
        <v>-0.3818</v>
      </c>
      <c r="K2181" t="n">
        <v>0.149</v>
      </c>
      <c r="L2181" t="n">
        <v>0.766</v>
      </c>
      <c r="M2181" t="n">
        <v>0.08500000000000001</v>
      </c>
    </row>
    <row r="2182" spans="1:13">
      <c r="A2182" s="1">
        <f>HYPERLINK("http://www.twitter.com/NathanBLawrence/status/990473020597723136", "990473020597723136")</f>
        <v/>
      </c>
      <c r="B2182" s="2" t="n">
        <v>43219.2562962963</v>
      </c>
      <c r="C2182" t="n">
        <v>0</v>
      </c>
      <c r="D2182" t="n">
        <v>331</v>
      </c>
      <c r="E2182" t="s">
        <v>2189</v>
      </c>
      <c r="F2182" t="s"/>
      <c r="G2182" t="s"/>
      <c r="H2182" t="s"/>
      <c r="I2182" t="s"/>
      <c r="J2182" t="n">
        <v>0.8532</v>
      </c>
      <c r="K2182" t="n">
        <v>0.06</v>
      </c>
      <c r="L2182" t="n">
        <v>0.635</v>
      </c>
      <c r="M2182" t="n">
        <v>0.305</v>
      </c>
    </row>
    <row r="2183" spans="1:13">
      <c r="A2183" s="1">
        <f>HYPERLINK("http://www.twitter.com/NathanBLawrence/status/990472579809865729", "990472579809865729")</f>
        <v/>
      </c>
      <c r="B2183" s="2" t="n">
        <v>43219.25508101852</v>
      </c>
      <c r="C2183" t="n">
        <v>0</v>
      </c>
      <c r="D2183" t="n">
        <v>403</v>
      </c>
      <c r="E2183" t="s">
        <v>2190</v>
      </c>
      <c r="F2183" t="s"/>
      <c r="G2183" t="s"/>
      <c r="H2183" t="s"/>
      <c r="I2183" t="s"/>
      <c r="J2183" t="n">
        <v>-0.296</v>
      </c>
      <c r="K2183" t="n">
        <v>0.095</v>
      </c>
      <c r="L2183" t="n">
        <v>0.905</v>
      </c>
      <c r="M2183" t="n">
        <v>0</v>
      </c>
    </row>
    <row r="2184" spans="1:13">
      <c r="A2184" s="1">
        <f>HYPERLINK("http://www.twitter.com/NathanBLawrence/status/990472465804488706", "990472465804488706")</f>
        <v/>
      </c>
      <c r="B2184" s="2" t="n">
        <v>43219.25476851852</v>
      </c>
      <c r="C2184" t="n">
        <v>0</v>
      </c>
      <c r="D2184" t="n">
        <v>526</v>
      </c>
      <c r="E2184" t="s">
        <v>2191</v>
      </c>
      <c r="F2184" t="s"/>
      <c r="G2184" t="s"/>
      <c r="H2184" t="s"/>
      <c r="I2184" t="s"/>
      <c r="J2184" t="n">
        <v>0.9072</v>
      </c>
      <c r="K2184" t="n">
        <v>0</v>
      </c>
      <c r="L2184" t="n">
        <v>0.66</v>
      </c>
      <c r="M2184" t="n">
        <v>0.34</v>
      </c>
    </row>
    <row r="2185" spans="1:13">
      <c r="A2185" s="1">
        <f>HYPERLINK("http://www.twitter.com/NathanBLawrence/status/990472353862725633", "990472353862725633")</f>
        <v/>
      </c>
      <c r="B2185" s="2" t="n">
        <v>43219.25445601852</v>
      </c>
      <c r="C2185" t="n">
        <v>0</v>
      </c>
      <c r="D2185" t="n">
        <v>580</v>
      </c>
      <c r="E2185" t="s">
        <v>2192</v>
      </c>
      <c r="F2185" t="s"/>
      <c r="G2185" t="s"/>
      <c r="H2185" t="s"/>
      <c r="I2185" t="s"/>
      <c r="J2185" t="n">
        <v>0</v>
      </c>
      <c r="K2185" t="n">
        <v>0</v>
      </c>
      <c r="L2185" t="n">
        <v>1</v>
      </c>
      <c r="M2185" t="n">
        <v>0</v>
      </c>
    </row>
    <row r="2186" spans="1:13">
      <c r="A2186" s="1">
        <f>HYPERLINK("http://www.twitter.com/NathanBLawrence/status/990472301203275776", "990472301203275776")</f>
        <v/>
      </c>
      <c r="B2186" s="2" t="n">
        <v>43219.25431712963</v>
      </c>
      <c r="C2186" t="n">
        <v>0</v>
      </c>
      <c r="D2186" t="n">
        <v>1</v>
      </c>
      <c r="E2186" t="s">
        <v>2193</v>
      </c>
      <c r="F2186" t="s"/>
      <c r="G2186" t="s"/>
      <c r="H2186" t="s"/>
      <c r="I2186" t="s"/>
      <c r="J2186" t="n">
        <v>-0.5574</v>
      </c>
      <c r="K2186" t="n">
        <v>0.265</v>
      </c>
      <c r="L2186" t="n">
        <v>0.735</v>
      </c>
      <c r="M2186" t="n">
        <v>0</v>
      </c>
    </row>
    <row r="2187" spans="1:13">
      <c r="A2187" s="1">
        <f>HYPERLINK("http://www.twitter.com/NathanBLawrence/status/990472180608610304", "990472180608610304")</f>
        <v/>
      </c>
      <c r="B2187" s="2" t="n">
        <v>43219.25398148148</v>
      </c>
      <c r="C2187" t="n">
        <v>3</v>
      </c>
      <c r="D2187" t="n">
        <v>1</v>
      </c>
      <c r="E2187" t="s">
        <v>2194</v>
      </c>
      <c r="F2187" t="s"/>
      <c r="G2187" t="s"/>
      <c r="H2187" t="s"/>
      <c r="I2187" t="s"/>
      <c r="J2187" t="n">
        <v>-0.5574</v>
      </c>
      <c r="K2187" t="n">
        <v>0.31</v>
      </c>
      <c r="L2187" t="n">
        <v>0.6899999999999999</v>
      </c>
      <c r="M2187" t="n">
        <v>0</v>
      </c>
    </row>
    <row r="2188" spans="1:13">
      <c r="A2188" s="1">
        <f>HYPERLINK("http://www.twitter.com/NathanBLawrence/status/990471803884589056", "990471803884589056")</f>
        <v/>
      </c>
      <c r="B2188" s="2" t="n">
        <v>43219.25293981482</v>
      </c>
      <c r="C2188" t="n">
        <v>0</v>
      </c>
      <c r="D2188" t="n">
        <v>6158</v>
      </c>
      <c r="E2188" t="s">
        <v>2195</v>
      </c>
      <c r="F2188" t="s"/>
      <c r="G2188" t="s"/>
      <c r="H2188" t="s"/>
      <c r="I2188" t="s"/>
      <c r="J2188" t="n">
        <v>-0.5413</v>
      </c>
      <c r="K2188" t="n">
        <v>0.143</v>
      </c>
      <c r="L2188" t="n">
        <v>0.857</v>
      </c>
      <c r="M2188" t="n">
        <v>0</v>
      </c>
    </row>
    <row r="2189" spans="1:13">
      <c r="A2189" s="1">
        <f>HYPERLINK("http://www.twitter.com/NathanBLawrence/status/990471726709403648", "990471726709403648")</f>
        <v/>
      </c>
      <c r="B2189" s="2" t="n">
        <v>43219.25273148148</v>
      </c>
      <c r="C2189" t="n">
        <v>0</v>
      </c>
      <c r="D2189" t="n">
        <v>7833</v>
      </c>
      <c r="E2189" t="s">
        <v>2196</v>
      </c>
      <c r="F2189" t="s"/>
      <c r="G2189" t="s"/>
      <c r="H2189" t="s"/>
      <c r="I2189" t="s"/>
      <c r="J2189" t="n">
        <v>-0.8023</v>
      </c>
      <c r="K2189" t="n">
        <v>0.302</v>
      </c>
      <c r="L2189" t="n">
        <v>0.698</v>
      </c>
      <c r="M2189" t="n">
        <v>0</v>
      </c>
    </row>
    <row r="2190" spans="1:13">
      <c r="A2190" s="1">
        <f>HYPERLINK("http://www.twitter.com/NathanBLawrence/status/990471558693961729", "990471558693961729")</f>
        <v/>
      </c>
      <c r="B2190" s="2" t="n">
        <v>43219.25226851852</v>
      </c>
      <c r="C2190" t="n">
        <v>0</v>
      </c>
      <c r="D2190" t="n">
        <v>124</v>
      </c>
      <c r="E2190" t="s">
        <v>2197</v>
      </c>
      <c r="F2190" t="s"/>
      <c r="G2190" t="s"/>
      <c r="H2190" t="s"/>
      <c r="I2190" t="s"/>
      <c r="J2190" t="n">
        <v>0</v>
      </c>
      <c r="K2190" t="n">
        <v>0</v>
      </c>
      <c r="L2190" t="n">
        <v>1</v>
      </c>
      <c r="M2190" t="n">
        <v>0</v>
      </c>
    </row>
    <row r="2191" spans="1:13">
      <c r="A2191" s="1">
        <f>HYPERLINK("http://www.twitter.com/NathanBLawrence/status/990470848912932864", "990470848912932864")</f>
        <v/>
      </c>
      <c r="B2191" s="2" t="n">
        <v>43219.2503125</v>
      </c>
      <c r="C2191" t="n">
        <v>0</v>
      </c>
      <c r="D2191" t="n">
        <v>2814</v>
      </c>
      <c r="E2191" t="s">
        <v>2198</v>
      </c>
      <c r="F2191" t="s"/>
      <c r="G2191" t="s"/>
      <c r="H2191" t="s"/>
      <c r="I2191" t="s"/>
      <c r="J2191" t="n">
        <v>0</v>
      </c>
      <c r="K2191" t="n">
        <v>0</v>
      </c>
      <c r="L2191" t="n">
        <v>1</v>
      </c>
      <c r="M2191" t="n">
        <v>0</v>
      </c>
    </row>
    <row r="2192" spans="1:13">
      <c r="A2192" s="1">
        <f>HYPERLINK("http://www.twitter.com/NathanBLawrence/status/990470778561945600", "990470778561945600")</f>
        <v/>
      </c>
      <c r="B2192" s="2" t="n">
        <v>43219.25011574074</v>
      </c>
      <c r="C2192" t="n">
        <v>0</v>
      </c>
      <c r="D2192" t="n">
        <v>5849</v>
      </c>
      <c r="E2192" t="s">
        <v>2199</v>
      </c>
      <c r="F2192" t="s"/>
      <c r="G2192" t="s"/>
      <c r="H2192" t="s"/>
      <c r="I2192" t="s"/>
      <c r="J2192" t="n">
        <v>-0.4023</v>
      </c>
      <c r="K2192" t="n">
        <v>0.109</v>
      </c>
      <c r="L2192" t="n">
        <v>0.891</v>
      </c>
      <c r="M2192" t="n">
        <v>0</v>
      </c>
    </row>
    <row r="2193" spans="1:13">
      <c r="A2193" s="1">
        <f>HYPERLINK("http://www.twitter.com/NathanBLawrence/status/990470372628688897", "990470372628688897")</f>
        <v/>
      </c>
      <c r="B2193" s="2" t="n">
        <v>43219.24899305555</v>
      </c>
      <c r="C2193" t="n">
        <v>0</v>
      </c>
      <c r="D2193" t="n">
        <v>5552</v>
      </c>
      <c r="E2193" t="s">
        <v>2200</v>
      </c>
      <c r="F2193" t="s"/>
      <c r="G2193" t="s"/>
      <c r="H2193" t="s"/>
      <c r="I2193" t="s"/>
      <c r="J2193" t="n">
        <v>-0.128</v>
      </c>
      <c r="K2193" t="n">
        <v>0.119</v>
      </c>
      <c r="L2193" t="n">
        <v>0.781</v>
      </c>
      <c r="M2193" t="n">
        <v>0.1</v>
      </c>
    </row>
    <row r="2194" spans="1:13">
      <c r="A2194" s="1">
        <f>HYPERLINK("http://www.twitter.com/NathanBLawrence/status/990470107615789056", "990470107615789056")</f>
        <v/>
      </c>
      <c r="B2194" s="2" t="n">
        <v>43219.24826388889</v>
      </c>
      <c r="C2194" t="n">
        <v>0</v>
      </c>
      <c r="D2194" t="n">
        <v>0</v>
      </c>
      <c r="E2194" t="s">
        <v>2201</v>
      </c>
      <c r="F2194" t="s"/>
      <c r="G2194" t="s"/>
      <c r="H2194" t="s"/>
      <c r="I2194" t="s"/>
      <c r="J2194" t="n">
        <v>0.4767</v>
      </c>
      <c r="K2194" t="n">
        <v>0</v>
      </c>
      <c r="L2194" t="n">
        <v>0.8070000000000001</v>
      </c>
      <c r="M2194" t="n">
        <v>0.193</v>
      </c>
    </row>
    <row r="2195" spans="1:13">
      <c r="A2195" s="1">
        <f>HYPERLINK("http://www.twitter.com/NathanBLawrence/status/990469751972421632", "990469751972421632")</f>
        <v/>
      </c>
      <c r="B2195" s="2" t="n">
        <v>43219.24728009259</v>
      </c>
      <c r="C2195" t="n">
        <v>0</v>
      </c>
      <c r="D2195" t="n">
        <v>0</v>
      </c>
      <c r="E2195" t="s">
        <v>2202</v>
      </c>
      <c r="F2195" t="s"/>
      <c r="G2195" t="s"/>
      <c r="H2195" t="s"/>
      <c r="I2195" t="s"/>
      <c r="J2195" t="n">
        <v>-0.8047</v>
      </c>
      <c r="K2195" t="n">
        <v>0.195</v>
      </c>
      <c r="L2195" t="n">
        <v>0.805</v>
      </c>
      <c r="M2195" t="n">
        <v>0</v>
      </c>
    </row>
    <row r="2196" spans="1:13">
      <c r="A2196" s="1">
        <f>HYPERLINK("http://www.twitter.com/NathanBLawrence/status/990468060304756737", "990468060304756737")</f>
        <v/>
      </c>
      <c r="B2196" s="2" t="n">
        <v>43219.24261574074</v>
      </c>
      <c r="C2196" t="n">
        <v>0</v>
      </c>
      <c r="D2196" t="n">
        <v>554</v>
      </c>
      <c r="E2196" t="s">
        <v>2203</v>
      </c>
      <c r="F2196" t="s"/>
      <c r="G2196" t="s"/>
      <c r="H2196" t="s"/>
      <c r="I2196" t="s"/>
      <c r="J2196" t="n">
        <v>0</v>
      </c>
      <c r="K2196" t="n">
        <v>0</v>
      </c>
      <c r="L2196" t="n">
        <v>1</v>
      </c>
      <c r="M2196" t="n">
        <v>0</v>
      </c>
    </row>
    <row r="2197" spans="1:13">
      <c r="A2197" s="1">
        <f>HYPERLINK("http://www.twitter.com/NathanBLawrence/status/990467412557348864", "990467412557348864")</f>
        <v/>
      </c>
      <c r="B2197" s="2" t="n">
        <v>43219.24082175926</v>
      </c>
      <c r="C2197" t="n">
        <v>9</v>
      </c>
      <c r="D2197" t="n">
        <v>1</v>
      </c>
      <c r="E2197" t="s">
        <v>2204</v>
      </c>
      <c r="F2197" t="s"/>
      <c r="G2197" t="s"/>
      <c r="H2197" t="s"/>
      <c r="I2197" t="s"/>
      <c r="J2197" t="n">
        <v>-0.735</v>
      </c>
      <c r="K2197" t="n">
        <v>0.186</v>
      </c>
      <c r="L2197" t="n">
        <v>0.764</v>
      </c>
      <c r="M2197" t="n">
        <v>0.05</v>
      </c>
    </row>
    <row r="2198" spans="1:13">
      <c r="A2198" s="1">
        <f>HYPERLINK("http://www.twitter.com/NathanBLawrence/status/990466826252402689", "990466826252402689")</f>
        <v/>
      </c>
      <c r="B2198" s="2" t="n">
        <v>43219.23921296297</v>
      </c>
      <c r="C2198" t="n">
        <v>0</v>
      </c>
      <c r="D2198" t="n">
        <v>2152</v>
      </c>
      <c r="E2198" t="s">
        <v>2205</v>
      </c>
      <c r="F2198" t="s"/>
      <c r="G2198" t="s"/>
      <c r="H2198" t="s"/>
      <c r="I2198" t="s"/>
      <c r="J2198" t="n">
        <v>0</v>
      </c>
      <c r="K2198" t="n">
        <v>0</v>
      </c>
      <c r="L2198" t="n">
        <v>1</v>
      </c>
      <c r="M2198" t="n">
        <v>0</v>
      </c>
    </row>
    <row r="2199" spans="1:13">
      <c r="A2199" s="1">
        <f>HYPERLINK("http://www.twitter.com/NathanBLawrence/status/990466782157721600", "990466782157721600")</f>
        <v/>
      </c>
      <c r="B2199" s="2" t="n">
        <v>43219.23908564815</v>
      </c>
      <c r="C2199" t="n">
        <v>3</v>
      </c>
      <c r="D2199" t="n">
        <v>0</v>
      </c>
      <c r="E2199" t="s">
        <v>2206</v>
      </c>
      <c r="F2199" t="s"/>
      <c r="G2199" t="s"/>
      <c r="H2199" t="s"/>
      <c r="I2199" t="s"/>
      <c r="J2199" t="n">
        <v>-0.735</v>
      </c>
      <c r="K2199" t="n">
        <v>0.186</v>
      </c>
      <c r="L2199" t="n">
        <v>0.764</v>
      </c>
      <c r="M2199" t="n">
        <v>0.05</v>
      </c>
    </row>
    <row r="2200" spans="1:13">
      <c r="A2200" s="1">
        <f>HYPERLINK("http://www.twitter.com/NathanBLawrence/status/990466611713720320", "990466611713720320")</f>
        <v/>
      </c>
      <c r="B2200" s="2" t="n">
        <v>43219.23861111111</v>
      </c>
      <c r="C2200" t="n">
        <v>1</v>
      </c>
      <c r="D2200" t="n">
        <v>1</v>
      </c>
      <c r="E2200" t="s">
        <v>2207</v>
      </c>
      <c r="F2200" t="s"/>
      <c r="G2200" t="s"/>
      <c r="H2200" t="s"/>
      <c r="I2200" t="s"/>
      <c r="J2200" t="n">
        <v>-0.735</v>
      </c>
      <c r="K2200" t="n">
        <v>0.186</v>
      </c>
      <c r="L2200" t="n">
        <v>0.764</v>
      </c>
      <c r="M2200" t="n">
        <v>0.05</v>
      </c>
    </row>
    <row r="2201" spans="1:13">
      <c r="A2201" s="1">
        <f>HYPERLINK("http://www.twitter.com/NathanBLawrence/status/990453530711355393", "990453530711355393")</f>
        <v/>
      </c>
      <c r="B2201" s="2" t="n">
        <v>43219.20252314815</v>
      </c>
      <c r="C2201" t="n">
        <v>1</v>
      </c>
      <c r="D2201" t="n">
        <v>2</v>
      </c>
      <c r="E2201" t="s">
        <v>2208</v>
      </c>
      <c r="F2201" t="s"/>
      <c r="G2201" t="s"/>
      <c r="H2201" t="s"/>
      <c r="I2201" t="s"/>
      <c r="J2201" t="n">
        <v>-0.7783</v>
      </c>
      <c r="K2201" t="n">
        <v>0.493</v>
      </c>
      <c r="L2201" t="n">
        <v>0.507</v>
      </c>
      <c r="M2201" t="n">
        <v>0</v>
      </c>
    </row>
    <row r="2202" spans="1:13">
      <c r="A2202" s="1">
        <f>HYPERLINK("http://www.twitter.com/NathanBLawrence/status/990438686129975297", "990438686129975297")</f>
        <v/>
      </c>
      <c r="B2202" s="2" t="n">
        <v>43219.16155092593</v>
      </c>
      <c r="C2202" t="n">
        <v>0</v>
      </c>
      <c r="D2202" t="n">
        <v>2818</v>
      </c>
      <c r="E2202" t="s">
        <v>2209</v>
      </c>
      <c r="F2202" t="s"/>
      <c r="G2202" t="s"/>
      <c r="H2202" t="s"/>
      <c r="I2202" t="s"/>
      <c r="J2202" t="n">
        <v>0</v>
      </c>
      <c r="K2202" t="n">
        <v>0</v>
      </c>
      <c r="L2202" t="n">
        <v>1</v>
      </c>
      <c r="M2202" t="n">
        <v>0</v>
      </c>
    </row>
    <row r="2203" spans="1:13">
      <c r="A2203" s="1">
        <f>HYPERLINK("http://www.twitter.com/NathanBLawrence/status/990438639510302720", "990438639510302720")</f>
        <v/>
      </c>
      <c r="B2203" s="2" t="n">
        <v>43219.16142361111</v>
      </c>
      <c r="C2203" t="n">
        <v>0</v>
      </c>
      <c r="D2203" t="n">
        <v>1874</v>
      </c>
      <c r="E2203" t="s">
        <v>2210</v>
      </c>
      <c r="F2203" t="s"/>
      <c r="G2203" t="s"/>
      <c r="H2203" t="s"/>
      <c r="I2203" t="s"/>
      <c r="J2203" t="n">
        <v>0</v>
      </c>
      <c r="K2203" t="n">
        <v>0</v>
      </c>
      <c r="L2203" t="n">
        <v>1</v>
      </c>
      <c r="M2203" t="n">
        <v>0</v>
      </c>
    </row>
    <row r="2204" spans="1:13">
      <c r="A2204" s="1">
        <f>HYPERLINK("http://www.twitter.com/NathanBLawrence/status/990438505120645120", "990438505120645120")</f>
        <v/>
      </c>
      <c r="B2204" s="2" t="n">
        <v>43219.16105324074</v>
      </c>
      <c r="C2204" t="n">
        <v>0</v>
      </c>
      <c r="D2204" t="n">
        <v>1591</v>
      </c>
      <c r="E2204" t="s">
        <v>2211</v>
      </c>
      <c r="F2204" t="s"/>
      <c r="G2204" t="s"/>
      <c r="H2204" t="s"/>
      <c r="I2204" t="s"/>
      <c r="J2204" t="n">
        <v>0</v>
      </c>
      <c r="K2204" t="n">
        <v>0</v>
      </c>
      <c r="L2204" t="n">
        <v>1</v>
      </c>
      <c r="M2204" t="n">
        <v>0</v>
      </c>
    </row>
    <row r="2205" spans="1:13">
      <c r="A2205" s="1">
        <f>HYPERLINK("http://www.twitter.com/NathanBLawrence/status/990436272626778112", "990436272626778112")</f>
        <v/>
      </c>
      <c r="B2205" s="2" t="n">
        <v>43219.15489583334</v>
      </c>
      <c r="C2205" t="n">
        <v>0</v>
      </c>
      <c r="D2205" t="n">
        <v>1</v>
      </c>
      <c r="E2205" t="s">
        <v>2212</v>
      </c>
      <c r="F2205" t="s"/>
      <c r="G2205" t="s"/>
      <c r="H2205" t="s"/>
      <c r="I2205" t="s"/>
      <c r="J2205" t="n">
        <v>-0.8501</v>
      </c>
      <c r="K2205" t="n">
        <v>0.209</v>
      </c>
      <c r="L2205" t="n">
        <v>0.791</v>
      </c>
      <c r="M2205" t="n">
        <v>0</v>
      </c>
    </row>
    <row r="2206" spans="1:13">
      <c r="A2206" s="1">
        <f>HYPERLINK("http://www.twitter.com/NathanBLawrence/status/990292164612538368", "990292164612538368")</f>
        <v/>
      </c>
      <c r="B2206" s="2" t="n">
        <v>43218.7572337963</v>
      </c>
      <c r="C2206" t="n">
        <v>0</v>
      </c>
      <c r="D2206" t="n">
        <v>18740</v>
      </c>
      <c r="E2206" t="s">
        <v>2213</v>
      </c>
      <c r="F2206" t="s"/>
      <c r="G2206" t="s"/>
      <c r="H2206" t="s"/>
      <c r="I2206" t="s"/>
      <c r="J2206" t="n">
        <v>0.6249</v>
      </c>
      <c r="K2206" t="n">
        <v>0</v>
      </c>
      <c r="L2206" t="n">
        <v>0.837</v>
      </c>
      <c r="M2206" t="n">
        <v>0.163</v>
      </c>
    </row>
    <row r="2207" spans="1:13">
      <c r="A2207" s="1">
        <f>HYPERLINK("http://www.twitter.com/NathanBLawrence/status/990292115534954496", "990292115534954496")</f>
        <v/>
      </c>
      <c r="B2207" s="2" t="n">
        <v>43218.75709490741</v>
      </c>
      <c r="C2207" t="n">
        <v>0</v>
      </c>
      <c r="D2207" t="n">
        <v>23809</v>
      </c>
      <c r="E2207" t="s">
        <v>2214</v>
      </c>
      <c r="F2207" t="s"/>
      <c r="G2207" t="s"/>
      <c r="H2207" t="s"/>
      <c r="I2207" t="s"/>
      <c r="J2207" t="n">
        <v>0.6794</v>
      </c>
      <c r="K2207" t="n">
        <v>0</v>
      </c>
      <c r="L2207" t="n">
        <v>0.798</v>
      </c>
      <c r="M2207" t="n">
        <v>0.202</v>
      </c>
    </row>
    <row r="2208" spans="1:13">
      <c r="A2208" s="1">
        <f>HYPERLINK("http://www.twitter.com/NathanBLawrence/status/990292047025197057", "990292047025197057")</f>
        <v/>
      </c>
      <c r="B2208" s="2" t="n">
        <v>43218.75690972222</v>
      </c>
      <c r="C2208" t="n">
        <v>0</v>
      </c>
      <c r="D2208" t="n">
        <v>21058</v>
      </c>
      <c r="E2208" t="s">
        <v>2215</v>
      </c>
      <c r="F2208" t="s"/>
      <c r="G2208" t="s"/>
      <c r="H2208" t="s"/>
      <c r="I2208" t="s"/>
      <c r="J2208" t="n">
        <v>-0.7184</v>
      </c>
      <c r="K2208" t="n">
        <v>0.25</v>
      </c>
      <c r="L2208" t="n">
        <v>0.75</v>
      </c>
      <c r="M2208" t="n">
        <v>0</v>
      </c>
    </row>
    <row r="2209" spans="1:13">
      <c r="A2209" s="1">
        <f>HYPERLINK("http://www.twitter.com/NathanBLawrence/status/990291852963164161", "990291852963164161")</f>
        <v/>
      </c>
      <c r="B2209" s="2" t="n">
        <v>43218.75637731481</v>
      </c>
      <c r="C2209" t="n">
        <v>0</v>
      </c>
      <c r="D2209" t="n">
        <v>226</v>
      </c>
      <c r="E2209" t="s">
        <v>2216</v>
      </c>
      <c r="F2209" t="s"/>
      <c r="G2209" t="s"/>
      <c r="H2209" t="s"/>
      <c r="I2209" t="s"/>
      <c r="J2209" t="n">
        <v>0.3612</v>
      </c>
      <c r="K2209" t="n">
        <v>0</v>
      </c>
      <c r="L2209" t="n">
        <v>0.894</v>
      </c>
      <c r="M2209" t="n">
        <v>0.106</v>
      </c>
    </row>
    <row r="2210" spans="1:13">
      <c r="A2210" s="1">
        <f>HYPERLINK("http://www.twitter.com/NathanBLawrence/status/990291735392600064", "990291735392600064")</f>
        <v/>
      </c>
      <c r="B2210" s="2" t="n">
        <v>43218.75605324074</v>
      </c>
      <c r="C2210" t="n">
        <v>0</v>
      </c>
      <c r="D2210" t="n">
        <v>255</v>
      </c>
      <c r="E2210" t="s">
        <v>2217</v>
      </c>
      <c r="F2210">
        <f>HYPERLINK("http://pbs.twimg.com/media/Db3om3gWAAEIM89.jpg", "http://pbs.twimg.com/media/Db3om3gWAAEIM89.jpg")</f>
        <v/>
      </c>
      <c r="G2210" t="s"/>
      <c r="H2210" t="s"/>
      <c r="I2210" t="s"/>
      <c r="J2210" t="n">
        <v>0.6588000000000001</v>
      </c>
      <c r="K2210" t="n">
        <v>0</v>
      </c>
      <c r="L2210" t="n">
        <v>0.84</v>
      </c>
      <c r="M2210" t="n">
        <v>0.16</v>
      </c>
    </row>
    <row r="2211" spans="1:13">
      <c r="A2211" s="1">
        <f>HYPERLINK("http://www.twitter.com/NathanBLawrence/status/990291649803632641", "990291649803632641")</f>
        <v/>
      </c>
      <c r="B2211" s="2" t="n">
        <v>43218.75581018518</v>
      </c>
      <c r="C2211" t="n">
        <v>0</v>
      </c>
      <c r="D2211" t="n">
        <v>314</v>
      </c>
      <c r="E2211" t="s">
        <v>2218</v>
      </c>
      <c r="F2211">
        <f>HYPERLINK("http://pbs.twimg.com/media/Db3oelxW4AAWOso.jpg", "http://pbs.twimg.com/media/Db3oelxW4AAWOso.jpg")</f>
        <v/>
      </c>
      <c r="G2211" t="s"/>
      <c r="H2211" t="s"/>
      <c r="I2211" t="s"/>
      <c r="J2211" t="n">
        <v>0.636</v>
      </c>
      <c r="K2211" t="n">
        <v>0</v>
      </c>
      <c r="L2211" t="n">
        <v>0.724</v>
      </c>
      <c r="M2211" t="n">
        <v>0.276</v>
      </c>
    </row>
    <row r="2212" spans="1:13">
      <c r="A2212" s="1">
        <f>HYPERLINK("http://www.twitter.com/NathanBLawrence/status/990291584523501568", "990291584523501568")</f>
        <v/>
      </c>
      <c r="B2212" s="2" t="n">
        <v>43218.75563657407</v>
      </c>
      <c r="C2212" t="n">
        <v>0</v>
      </c>
      <c r="D2212" t="n">
        <v>268</v>
      </c>
      <c r="E2212" t="s">
        <v>2219</v>
      </c>
      <c r="F2212" t="s"/>
      <c r="G2212" t="s"/>
      <c r="H2212" t="s"/>
      <c r="I2212" t="s"/>
      <c r="J2212" t="n">
        <v>-0.2263</v>
      </c>
      <c r="K2212" t="n">
        <v>0.081</v>
      </c>
      <c r="L2212" t="n">
        <v>0.873</v>
      </c>
      <c r="M2212" t="n">
        <v>0.046</v>
      </c>
    </row>
    <row r="2213" spans="1:13">
      <c r="A2213" s="1">
        <f>HYPERLINK("http://www.twitter.com/NathanBLawrence/status/990291477497397248", "990291477497397248")</f>
        <v/>
      </c>
      <c r="B2213" s="2" t="n">
        <v>43218.75533564815</v>
      </c>
      <c r="C2213" t="n">
        <v>0</v>
      </c>
      <c r="D2213" t="n">
        <v>21740</v>
      </c>
      <c r="E2213" t="s">
        <v>2220</v>
      </c>
      <c r="F2213" t="s"/>
      <c r="G2213" t="s"/>
      <c r="H2213" t="s"/>
      <c r="I2213" t="s"/>
      <c r="J2213" t="n">
        <v>0.7506</v>
      </c>
      <c r="K2213" t="n">
        <v>0</v>
      </c>
      <c r="L2213" t="n">
        <v>0.758</v>
      </c>
      <c r="M2213" t="n">
        <v>0.242</v>
      </c>
    </row>
    <row r="2214" spans="1:13">
      <c r="A2214" s="1">
        <f>HYPERLINK("http://www.twitter.com/NathanBLawrence/status/990291160613535745", "990291160613535745")</f>
        <v/>
      </c>
      <c r="B2214" s="2" t="n">
        <v>43218.75446759259</v>
      </c>
      <c r="C2214" t="n">
        <v>0</v>
      </c>
      <c r="D2214" t="n">
        <v>7</v>
      </c>
      <c r="E2214" t="s">
        <v>2221</v>
      </c>
      <c r="F2214" t="s"/>
      <c r="G2214" t="s"/>
      <c r="H2214" t="s"/>
      <c r="I2214" t="s"/>
      <c r="J2214" t="n">
        <v>-0.765</v>
      </c>
      <c r="K2214" t="n">
        <v>0.306</v>
      </c>
      <c r="L2214" t="n">
        <v>0.694</v>
      </c>
      <c r="M2214" t="n">
        <v>0</v>
      </c>
    </row>
    <row r="2215" spans="1:13">
      <c r="A2215" s="1">
        <f>HYPERLINK("http://www.twitter.com/NathanBLawrence/status/990291116854411264", "990291116854411264")</f>
        <v/>
      </c>
      <c r="B2215" s="2" t="n">
        <v>43218.75434027778</v>
      </c>
      <c r="C2215" t="n">
        <v>10</v>
      </c>
      <c r="D2215" t="n">
        <v>7</v>
      </c>
      <c r="E2215" t="s">
        <v>2222</v>
      </c>
      <c r="F2215" t="s"/>
      <c r="G2215" t="s"/>
      <c r="H2215" t="s"/>
      <c r="I2215" t="s"/>
      <c r="J2215" t="n">
        <v>-0.765</v>
      </c>
      <c r="K2215" t="n">
        <v>0.292</v>
      </c>
      <c r="L2215" t="n">
        <v>0.708</v>
      </c>
      <c r="M2215" t="n">
        <v>0</v>
      </c>
    </row>
    <row r="2216" spans="1:13">
      <c r="A2216" s="1">
        <f>HYPERLINK("http://www.twitter.com/NathanBLawrence/status/990290060070174721", "990290060070174721")</f>
        <v/>
      </c>
      <c r="B2216" s="2" t="n">
        <v>43218.75142361111</v>
      </c>
      <c r="C2216" t="n">
        <v>0</v>
      </c>
      <c r="D2216" t="n">
        <v>184</v>
      </c>
      <c r="E2216" t="s">
        <v>2223</v>
      </c>
      <c r="F2216" t="s"/>
      <c r="G2216" t="s"/>
      <c r="H2216" t="s"/>
      <c r="I2216" t="s"/>
      <c r="J2216" t="n">
        <v>-0.128</v>
      </c>
      <c r="K2216" t="n">
        <v>0.127</v>
      </c>
      <c r="L2216" t="n">
        <v>0.727</v>
      </c>
      <c r="M2216" t="n">
        <v>0.145</v>
      </c>
    </row>
    <row r="2217" spans="1:13">
      <c r="A2217" s="1">
        <f>HYPERLINK("http://www.twitter.com/NathanBLawrence/status/990288930149826565", "990288930149826565")</f>
        <v/>
      </c>
      <c r="B2217" s="2" t="n">
        <v>43218.74831018518</v>
      </c>
      <c r="C2217" t="n">
        <v>0</v>
      </c>
      <c r="D2217" t="n">
        <v>224</v>
      </c>
      <c r="E2217" t="s">
        <v>2224</v>
      </c>
      <c r="F2217" t="s"/>
      <c r="G2217" t="s"/>
      <c r="H2217" t="s"/>
      <c r="I2217" t="s"/>
      <c r="J2217" t="n">
        <v>0.698</v>
      </c>
      <c r="K2217" t="n">
        <v>0.135</v>
      </c>
      <c r="L2217" t="n">
        <v>0.583</v>
      </c>
      <c r="M2217" t="n">
        <v>0.282</v>
      </c>
    </row>
    <row r="2218" spans="1:13">
      <c r="A2218" s="1">
        <f>HYPERLINK("http://www.twitter.com/NathanBLawrence/status/990288818086363136", "990288818086363136")</f>
        <v/>
      </c>
      <c r="B2218" s="2" t="n">
        <v>43218.74799768518</v>
      </c>
      <c r="C2218" t="n">
        <v>0</v>
      </c>
      <c r="D2218" t="n">
        <v>364</v>
      </c>
      <c r="E2218" t="s">
        <v>2225</v>
      </c>
      <c r="F2218" t="s"/>
      <c r="G2218" t="s"/>
      <c r="H2218" t="s"/>
      <c r="I2218" t="s"/>
      <c r="J2218" t="n">
        <v>-0.4753</v>
      </c>
      <c r="K2218" t="n">
        <v>0.213</v>
      </c>
      <c r="L2218" t="n">
        <v>0.678</v>
      </c>
      <c r="M2218" t="n">
        <v>0.109</v>
      </c>
    </row>
    <row r="2219" spans="1:13">
      <c r="A2219" s="1">
        <f>HYPERLINK("http://www.twitter.com/NathanBLawrence/status/990288616952942592", "990288616952942592")</f>
        <v/>
      </c>
      <c r="B2219" s="2" t="n">
        <v>43218.74744212963</v>
      </c>
      <c r="C2219" t="n">
        <v>0</v>
      </c>
      <c r="D2219" t="n">
        <v>25765</v>
      </c>
      <c r="E2219" t="s">
        <v>2226</v>
      </c>
      <c r="F2219" t="s"/>
      <c r="G2219" t="s"/>
      <c r="H2219" t="s"/>
      <c r="I2219" t="s"/>
      <c r="J2219" t="n">
        <v>0</v>
      </c>
      <c r="K2219" t="n">
        <v>0</v>
      </c>
      <c r="L2219" t="n">
        <v>1</v>
      </c>
      <c r="M2219" t="n">
        <v>0</v>
      </c>
    </row>
    <row r="2220" spans="1:13">
      <c r="A2220" s="1">
        <f>HYPERLINK("http://www.twitter.com/NathanBLawrence/status/990288374517809152", "990288374517809152")</f>
        <v/>
      </c>
      <c r="B2220" s="2" t="n">
        <v>43218.74677083334</v>
      </c>
      <c r="C2220" t="n">
        <v>0</v>
      </c>
      <c r="D2220" t="n">
        <v>27381</v>
      </c>
      <c r="E2220" t="s">
        <v>2227</v>
      </c>
      <c r="F2220" t="s"/>
      <c r="G2220" t="s"/>
      <c r="H2220" t="s"/>
      <c r="I2220" t="s"/>
      <c r="J2220" t="n">
        <v>0.0431</v>
      </c>
      <c r="K2220" t="n">
        <v>0.117</v>
      </c>
      <c r="L2220" t="n">
        <v>0.759</v>
      </c>
      <c r="M2220" t="n">
        <v>0.124</v>
      </c>
    </row>
    <row r="2221" spans="1:13">
      <c r="A2221" s="1">
        <f>HYPERLINK("http://www.twitter.com/NathanBLawrence/status/990288033525055488", "990288033525055488")</f>
        <v/>
      </c>
      <c r="B2221" s="2" t="n">
        <v>43218.74583333333</v>
      </c>
      <c r="C2221" t="n">
        <v>0</v>
      </c>
      <c r="D2221" t="n">
        <v>9622</v>
      </c>
      <c r="E2221" t="s">
        <v>2228</v>
      </c>
      <c r="F2221">
        <f>HYPERLINK("https://video.twimg.com/amplify_video/989952836703346689/vid/1280x720/CpW3Wk46ZPMCOSxR.mp4?tag=2", "https://video.twimg.com/amplify_video/989952836703346689/vid/1280x720/CpW3Wk46ZPMCOSxR.mp4?tag=2")</f>
        <v/>
      </c>
      <c r="G2221" t="s"/>
      <c r="H2221" t="s"/>
      <c r="I2221" t="s"/>
      <c r="J2221" t="n">
        <v>0.6808</v>
      </c>
      <c r="K2221" t="n">
        <v>0</v>
      </c>
      <c r="L2221" t="n">
        <v>0.752</v>
      </c>
      <c r="M2221" t="n">
        <v>0.248</v>
      </c>
    </row>
    <row r="2222" spans="1:13">
      <c r="A2222" s="1">
        <f>HYPERLINK("http://www.twitter.com/NathanBLawrence/status/990286094917775361", "990286094917775361")</f>
        <v/>
      </c>
      <c r="B2222" s="2" t="n">
        <v>43218.74048611111</v>
      </c>
      <c r="C2222" t="n">
        <v>0</v>
      </c>
      <c r="D2222" t="n">
        <v>935</v>
      </c>
      <c r="E2222" t="s">
        <v>2229</v>
      </c>
      <c r="F2222">
        <f>HYPERLINK("http://pbs.twimg.com/media/Db4yznpVQAEkmuj.jpg", "http://pbs.twimg.com/media/Db4yznpVQAEkmuj.jpg")</f>
        <v/>
      </c>
      <c r="G2222" t="s"/>
      <c r="H2222" t="s"/>
      <c r="I2222" t="s"/>
      <c r="J2222" t="n">
        <v>0.4019</v>
      </c>
      <c r="K2222" t="n">
        <v>0</v>
      </c>
      <c r="L2222" t="n">
        <v>0.876</v>
      </c>
      <c r="M2222" t="n">
        <v>0.124</v>
      </c>
    </row>
    <row r="2223" spans="1:13">
      <c r="A2223" s="1">
        <f>HYPERLINK("http://www.twitter.com/NathanBLawrence/status/990284901885857792", "990284901885857792")</f>
        <v/>
      </c>
      <c r="B2223" s="2" t="n">
        <v>43218.7371875</v>
      </c>
      <c r="C2223" t="n">
        <v>0</v>
      </c>
      <c r="D2223" t="n">
        <v>114</v>
      </c>
      <c r="E2223" t="s">
        <v>2230</v>
      </c>
      <c r="F2223" t="s"/>
      <c r="G2223" t="s"/>
      <c r="H2223" t="s"/>
      <c r="I2223" t="s"/>
      <c r="J2223" t="n">
        <v>-0.4404</v>
      </c>
      <c r="K2223" t="n">
        <v>0.225</v>
      </c>
      <c r="L2223" t="n">
        <v>0.775</v>
      </c>
      <c r="M2223" t="n">
        <v>0</v>
      </c>
    </row>
    <row r="2224" spans="1:13">
      <c r="A2224" s="1">
        <f>HYPERLINK("http://www.twitter.com/NathanBLawrence/status/990284836454707200", "990284836454707200")</f>
        <v/>
      </c>
      <c r="B2224" s="2" t="n">
        <v>43218.73701388889</v>
      </c>
      <c r="C2224" t="n">
        <v>0</v>
      </c>
      <c r="D2224" t="n">
        <v>1443</v>
      </c>
      <c r="E2224" t="s">
        <v>2231</v>
      </c>
      <c r="F2224" t="s"/>
      <c r="G2224" t="s"/>
      <c r="H2224" t="s"/>
      <c r="I2224" t="s"/>
      <c r="J2224" t="n">
        <v>-0.7756999999999999</v>
      </c>
      <c r="K2224" t="n">
        <v>0.253</v>
      </c>
      <c r="L2224" t="n">
        <v>0.747</v>
      </c>
      <c r="M2224" t="n">
        <v>0</v>
      </c>
    </row>
    <row r="2225" spans="1:13">
      <c r="A2225" s="1">
        <f>HYPERLINK("http://www.twitter.com/NathanBLawrence/status/990283729024282626", "990283729024282626")</f>
        <v/>
      </c>
      <c r="B2225" s="2" t="n">
        <v>43218.73395833333</v>
      </c>
      <c r="C2225" t="n">
        <v>0</v>
      </c>
      <c r="D2225" t="n">
        <v>1596</v>
      </c>
      <c r="E2225" t="s">
        <v>2232</v>
      </c>
      <c r="F2225" t="s"/>
      <c r="G2225" t="s"/>
      <c r="H2225" t="s"/>
      <c r="I2225" t="s"/>
      <c r="J2225" t="n">
        <v>0.9063</v>
      </c>
      <c r="K2225" t="n">
        <v>0.08</v>
      </c>
      <c r="L2225" t="n">
        <v>0.462</v>
      </c>
      <c r="M2225" t="n">
        <v>0.459</v>
      </c>
    </row>
    <row r="2226" spans="1:13">
      <c r="A2226" s="1">
        <f>HYPERLINK("http://www.twitter.com/NathanBLawrence/status/990102526346252288", "990102526346252288")</f>
        <v/>
      </c>
      <c r="B2226" s="2" t="n">
        <v>43218.23393518518</v>
      </c>
      <c r="C2226" t="n">
        <v>1</v>
      </c>
      <c r="D2226" t="n">
        <v>0</v>
      </c>
      <c r="E2226" t="s">
        <v>2233</v>
      </c>
      <c r="F2226" t="s"/>
      <c r="G2226" t="s"/>
      <c r="H2226" t="s"/>
      <c r="I2226" t="s"/>
      <c r="J2226" t="n">
        <v>-0.8126</v>
      </c>
      <c r="K2226" t="n">
        <v>0.514</v>
      </c>
      <c r="L2226" t="n">
        <v>0.486</v>
      </c>
      <c r="M2226" t="n">
        <v>0</v>
      </c>
    </row>
    <row r="2227" spans="1:13">
      <c r="A2227" s="1">
        <f>HYPERLINK("http://www.twitter.com/NathanBLawrence/status/990099878821838848", "990099878821838848")</f>
        <v/>
      </c>
      <c r="B2227" s="2" t="n">
        <v>43218.22662037037</v>
      </c>
      <c r="C2227" t="n">
        <v>0</v>
      </c>
      <c r="D2227" t="n">
        <v>6</v>
      </c>
      <c r="E2227" t="s">
        <v>2234</v>
      </c>
      <c r="F2227">
        <f>HYPERLINK("http://pbs.twimg.com/media/DbzX_fxXUAAI5Bd.jpg", "http://pbs.twimg.com/media/DbzX_fxXUAAI5Bd.jpg")</f>
        <v/>
      </c>
      <c r="G2227" t="s"/>
      <c r="H2227" t="s"/>
      <c r="I2227" t="s"/>
      <c r="J2227" t="n">
        <v>0.2263</v>
      </c>
      <c r="K2227" t="n">
        <v>0</v>
      </c>
      <c r="L2227" t="n">
        <v>0.905</v>
      </c>
      <c r="M2227" t="n">
        <v>0.095</v>
      </c>
    </row>
    <row r="2228" spans="1:13">
      <c r="A2228" s="1">
        <f>HYPERLINK("http://www.twitter.com/NathanBLawrence/status/990098268276248577", "990098268276248577")</f>
        <v/>
      </c>
      <c r="B2228" s="2" t="n">
        <v>43218.22217592593</v>
      </c>
      <c r="C2228" t="n">
        <v>0</v>
      </c>
      <c r="D2228" t="n">
        <v>10</v>
      </c>
      <c r="E2228" t="s">
        <v>2235</v>
      </c>
      <c r="F2228" t="s"/>
      <c r="G2228" t="s"/>
      <c r="H2228" t="s"/>
      <c r="I2228" t="s"/>
      <c r="J2228" t="n">
        <v>0</v>
      </c>
      <c r="K2228" t="n">
        <v>0</v>
      </c>
      <c r="L2228" t="n">
        <v>1</v>
      </c>
      <c r="M2228" t="n">
        <v>0</v>
      </c>
    </row>
    <row r="2229" spans="1:13">
      <c r="A2229" s="1">
        <f>HYPERLINK("http://www.twitter.com/NathanBLawrence/status/990098156095389696", "990098156095389696")</f>
        <v/>
      </c>
      <c r="B2229" s="2" t="n">
        <v>43218.221875</v>
      </c>
      <c r="C2229" t="n">
        <v>0</v>
      </c>
      <c r="D2229" t="n">
        <v>3</v>
      </c>
      <c r="E2229" t="s">
        <v>2236</v>
      </c>
      <c r="F2229" t="s"/>
      <c r="G2229" t="s"/>
      <c r="H2229" t="s"/>
      <c r="I2229" t="s"/>
      <c r="J2229" t="n">
        <v>0</v>
      </c>
      <c r="K2229" t="n">
        <v>0</v>
      </c>
      <c r="L2229" t="n">
        <v>1</v>
      </c>
      <c r="M2229" t="n">
        <v>0</v>
      </c>
    </row>
    <row r="2230" spans="1:13">
      <c r="A2230" s="1">
        <f>HYPERLINK("http://www.twitter.com/NathanBLawrence/status/990096039913836548", "990096039913836548")</f>
        <v/>
      </c>
      <c r="B2230" s="2" t="n">
        <v>43218.21603009259</v>
      </c>
      <c r="C2230" t="n">
        <v>0</v>
      </c>
      <c r="D2230" t="n">
        <v>9</v>
      </c>
      <c r="E2230" t="s">
        <v>2237</v>
      </c>
      <c r="F2230">
        <f>HYPERLINK("http://pbs.twimg.com/media/DbyxAPmVAAULL79.jpg", "http://pbs.twimg.com/media/DbyxAPmVAAULL79.jpg")</f>
        <v/>
      </c>
      <c r="G2230" t="s"/>
      <c r="H2230" t="s"/>
      <c r="I2230" t="s"/>
      <c r="J2230" t="n">
        <v>0</v>
      </c>
      <c r="K2230" t="n">
        <v>0</v>
      </c>
      <c r="L2230" t="n">
        <v>1</v>
      </c>
      <c r="M2230" t="n">
        <v>0</v>
      </c>
    </row>
    <row r="2231" spans="1:13">
      <c r="A2231" s="1">
        <f>HYPERLINK("http://www.twitter.com/NathanBLawrence/status/989950502136958976", "989950502136958976")</f>
        <v/>
      </c>
      <c r="B2231" s="2" t="n">
        <v>43217.81442129629</v>
      </c>
      <c r="C2231" t="n">
        <v>0</v>
      </c>
      <c r="D2231" t="n">
        <v>14</v>
      </c>
      <c r="E2231" t="s">
        <v>2238</v>
      </c>
      <c r="F2231">
        <f>HYPERLINK("http://pbs.twimg.com/media/Dbp1helUQAAEBor.jpg", "http://pbs.twimg.com/media/Dbp1helUQAAEBor.jpg")</f>
        <v/>
      </c>
      <c r="G2231" t="s"/>
      <c r="H2231" t="s"/>
      <c r="I2231" t="s"/>
      <c r="J2231" t="n">
        <v>-0.7351</v>
      </c>
      <c r="K2231" t="n">
        <v>0.187</v>
      </c>
      <c r="L2231" t="n">
        <v>0.8129999999999999</v>
      </c>
      <c r="M2231" t="n">
        <v>0</v>
      </c>
    </row>
    <row r="2232" spans="1:13">
      <c r="A2232" s="1">
        <f>HYPERLINK("http://www.twitter.com/NathanBLawrence/status/989950300558643201", "989950300558643201")</f>
        <v/>
      </c>
      <c r="B2232" s="2" t="n">
        <v>43217.81386574074</v>
      </c>
      <c r="C2232" t="n">
        <v>0</v>
      </c>
      <c r="D2232" t="n">
        <v>1339</v>
      </c>
      <c r="E2232" t="s">
        <v>2239</v>
      </c>
      <c r="F2232" t="s"/>
      <c r="G2232" t="s"/>
      <c r="H2232" t="s"/>
      <c r="I2232" t="s"/>
      <c r="J2232" t="n">
        <v>0.875</v>
      </c>
      <c r="K2232" t="n">
        <v>0</v>
      </c>
      <c r="L2232" t="n">
        <v>0.6879999999999999</v>
      </c>
      <c r="M2232" t="n">
        <v>0.312</v>
      </c>
    </row>
    <row r="2233" spans="1:13">
      <c r="A2233" s="1">
        <f>HYPERLINK("http://www.twitter.com/NathanBLawrence/status/989950252303122432", "989950252303122432")</f>
        <v/>
      </c>
      <c r="B2233" s="2" t="n">
        <v>43217.81373842592</v>
      </c>
      <c r="C2233" t="n">
        <v>0</v>
      </c>
      <c r="D2233" t="n">
        <v>621</v>
      </c>
      <c r="E2233" t="s">
        <v>2240</v>
      </c>
      <c r="F2233" t="s"/>
      <c r="G2233" t="s"/>
      <c r="H2233" t="s"/>
      <c r="I2233" t="s"/>
      <c r="J2233" t="n">
        <v>0.7906</v>
      </c>
      <c r="K2233" t="n">
        <v>0</v>
      </c>
      <c r="L2233" t="n">
        <v>0.652</v>
      </c>
      <c r="M2233" t="n">
        <v>0.348</v>
      </c>
    </row>
    <row r="2234" spans="1:13">
      <c r="A2234" s="1">
        <f>HYPERLINK("http://www.twitter.com/NathanBLawrence/status/989950182619074561", "989950182619074561")</f>
        <v/>
      </c>
      <c r="B2234" s="2" t="n">
        <v>43217.81354166667</v>
      </c>
      <c r="C2234" t="n">
        <v>0</v>
      </c>
      <c r="D2234" t="n">
        <v>44</v>
      </c>
      <c r="E2234" t="s">
        <v>2241</v>
      </c>
      <c r="F2234">
        <f>HYPERLINK("http://pbs.twimg.com/media/DbmrrGOWkAAov_J.jpg", "http://pbs.twimg.com/media/DbmrrGOWkAAov_J.jpg")</f>
        <v/>
      </c>
      <c r="G2234" t="s"/>
      <c r="H2234" t="s"/>
      <c r="I2234" t="s"/>
      <c r="J2234" t="n">
        <v>-0.6705</v>
      </c>
      <c r="K2234" t="n">
        <v>0.234</v>
      </c>
      <c r="L2234" t="n">
        <v>0.696</v>
      </c>
      <c r="M2234" t="n">
        <v>0.07000000000000001</v>
      </c>
    </row>
    <row r="2235" spans="1:13">
      <c r="A2235" s="1">
        <f>HYPERLINK("http://www.twitter.com/NathanBLawrence/status/989950090780532737", "989950090780532737")</f>
        <v/>
      </c>
      <c r="B2235" s="2" t="n">
        <v>43217.81328703704</v>
      </c>
      <c r="C2235" t="n">
        <v>0</v>
      </c>
      <c r="D2235" t="n">
        <v>40</v>
      </c>
      <c r="E2235" t="s">
        <v>2242</v>
      </c>
      <c r="F2235" t="s"/>
      <c r="G2235" t="s"/>
      <c r="H2235" t="s"/>
      <c r="I2235" t="s"/>
      <c r="J2235" t="n">
        <v>0</v>
      </c>
      <c r="K2235" t="n">
        <v>0</v>
      </c>
      <c r="L2235" t="n">
        <v>1</v>
      </c>
      <c r="M2235" t="n">
        <v>0</v>
      </c>
    </row>
    <row r="2236" spans="1:13">
      <c r="A2236" s="1">
        <f>HYPERLINK("http://www.twitter.com/NathanBLawrence/status/989949714245341184", "989949714245341184")</f>
        <v/>
      </c>
      <c r="B2236" s="2" t="n">
        <v>43217.81224537037</v>
      </c>
      <c r="C2236" t="n">
        <v>0</v>
      </c>
      <c r="D2236" t="n">
        <v>44</v>
      </c>
      <c r="E2236" t="s">
        <v>2243</v>
      </c>
      <c r="F2236" t="s"/>
      <c r="G2236" t="s"/>
      <c r="H2236" t="s"/>
      <c r="I2236" t="s"/>
      <c r="J2236" t="n">
        <v>0.5972</v>
      </c>
      <c r="K2236" t="n">
        <v>0</v>
      </c>
      <c r="L2236" t="n">
        <v>0.85</v>
      </c>
      <c r="M2236" t="n">
        <v>0.15</v>
      </c>
    </row>
    <row r="2237" spans="1:13">
      <c r="A2237" s="1">
        <f>HYPERLINK("http://www.twitter.com/NathanBLawrence/status/989926271516688384", "989926271516688384")</f>
        <v/>
      </c>
      <c r="B2237" s="2" t="n">
        <v>43217.74755787037</v>
      </c>
      <c r="C2237" t="n">
        <v>0</v>
      </c>
      <c r="D2237" t="n">
        <v>24785</v>
      </c>
      <c r="E2237" t="s">
        <v>2244</v>
      </c>
      <c r="F2237" t="s"/>
      <c r="G2237" t="s"/>
      <c r="H2237" t="s"/>
      <c r="I2237" t="s"/>
      <c r="J2237" t="n">
        <v>-0.5719</v>
      </c>
      <c r="K2237" t="n">
        <v>0.198</v>
      </c>
      <c r="L2237" t="n">
        <v>0.802</v>
      </c>
      <c r="M2237" t="n">
        <v>0</v>
      </c>
    </row>
    <row r="2238" spans="1:13">
      <c r="A2238" s="1">
        <f>HYPERLINK("http://www.twitter.com/NathanBLawrence/status/989926188188516352", "989926188188516352")</f>
        <v/>
      </c>
      <c r="B2238" s="2" t="n">
        <v>43217.74732638889</v>
      </c>
      <c r="C2238" t="n">
        <v>0</v>
      </c>
      <c r="D2238" t="n">
        <v>25316</v>
      </c>
      <c r="E2238" t="s">
        <v>2245</v>
      </c>
      <c r="F2238" t="s"/>
      <c r="G2238" t="s"/>
      <c r="H2238" t="s"/>
      <c r="I2238" t="s"/>
      <c r="J2238" t="n">
        <v>-0.5719</v>
      </c>
      <c r="K2238" t="n">
        <v>0.163</v>
      </c>
      <c r="L2238" t="n">
        <v>0.837</v>
      </c>
      <c r="M2238" t="n">
        <v>0</v>
      </c>
    </row>
    <row r="2239" spans="1:13">
      <c r="A2239" s="1">
        <f>HYPERLINK("http://www.twitter.com/NathanBLawrence/status/989926140499259392", "989926140499259392")</f>
        <v/>
      </c>
      <c r="B2239" s="2" t="n">
        <v>43217.74719907407</v>
      </c>
      <c r="C2239" t="n">
        <v>0</v>
      </c>
      <c r="D2239" t="n">
        <v>0</v>
      </c>
      <c r="E2239" t="s">
        <v>2246</v>
      </c>
      <c r="F2239" t="s"/>
      <c r="G2239" t="s"/>
      <c r="H2239" t="s"/>
      <c r="I2239" t="s"/>
      <c r="J2239" t="n">
        <v>0.9370000000000001</v>
      </c>
      <c r="K2239" t="n">
        <v>0.049</v>
      </c>
      <c r="L2239" t="n">
        <v>0.428</v>
      </c>
      <c r="M2239" t="n">
        <v>0.523</v>
      </c>
    </row>
    <row r="2240" spans="1:13">
      <c r="A2240" s="1">
        <f>HYPERLINK("http://www.twitter.com/NathanBLawrence/status/989925586305875968", "989925586305875968")</f>
        <v/>
      </c>
      <c r="B2240" s="2" t="n">
        <v>43217.7456712963</v>
      </c>
      <c r="C2240" t="n">
        <v>0</v>
      </c>
      <c r="D2240" t="n">
        <v>11977</v>
      </c>
      <c r="E2240" t="s">
        <v>2247</v>
      </c>
      <c r="F2240" t="s"/>
      <c r="G2240" t="s"/>
      <c r="H2240" t="s"/>
      <c r="I2240" t="s"/>
      <c r="J2240" t="n">
        <v>0.659</v>
      </c>
      <c r="K2240" t="n">
        <v>0</v>
      </c>
      <c r="L2240" t="n">
        <v>0.834</v>
      </c>
      <c r="M2240" t="n">
        <v>0.166</v>
      </c>
    </row>
    <row r="2241" spans="1:13">
      <c r="A2241" s="1">
        <f>HYPERLINK("http://www.twitter.com/NathanBLawrence/status/989925541791780869", "989925541791780869")</f>
        <v/>
      </c>
      <c r="B2241" s="2" t="n">
        <v>43217.74554398148</v>
      </c>
      <c r="C2241" t="n">
        <v>0</v>
      </c>
      <c r="D2241" t="n">
        <v>24860</v>
      </c>
      <c r="E2241" t="s">
        <v>2248</v>
      </c>
      <c r="F2241" t="s"/>
      <c r="G2241" t="s"/>
      <c r="H2241" t="s"/>
      <c r="I2241" t="s"/>
      <c r="J2241" t="n">
        <v>0.8826000000000001</v>
      </c>
      <c r="K2241" t="n">
        <v>0.092</v>
      </c>
      <c r="L2241" t="n">
        <v>0.474</v>
      </c>
      <c r="M2241" t="n">
        <v>0.434</v>
      </c>
    </row>
    <row r="2242" spans="1:13">
      <c r="A2242" s="1">
        <f>HYPERLINK("http://www.twitter.com/NathanBLawrence/status/989925385260290048", "989925385260290048")</f>
        <v/>
      </c>
      <c r="B2242" s="2" t="n">
        <v>43217.74511574074</v>
      </c>
      <c r="C2242" t="n">
        <v>0</v>
      </c>
      <c r="D2242" t="n">
        <v>2348</v>
      </c>
      <c r="E2242" t="s">
        <v>2249</v>
      </c>
      <c r="F2242" t="s"/>
      <c r="G2242" t="s"/>
      <c r="H2242" t="s"/>
      <c r="I2242" t="s"/>
      <c r="J2242" t="n">
        <v>0</v>
      </c>
      <c r="K2242" t="n">
        <v>0</v>
      </c>
      <c r="L2242" t="n">
        <v>1</v>
      </c>
      <c r="M2242" t="n">
        <v>0</v>
      </c>
    </row>
    <row r="2243" spans="1:13">
      <c r="A2243" s="1">
        <f>HYPERLINK("http://www.twitter.com/NathanBLawrence/status/989925284102135808", "989925284102135808")</f>
        <v/>
      </c>
      <c r="B2243" s="2" t="n">
        <v>43217.74483796296</v>
      </c>
      <c r="C2243" t="n">
        <v>0</v>
      </c>
      <c r="D2243" t="n">
        <v>622</v>
      </c>
      <c r="E2243" t="s">
        <v>2250</v>
      </c>
      <c r="F2243">
        <f>HYPERLINK("http://pbs.twimg.com/media/Dbzob08VwAAY5ED.jpg", "http://pbs.twimg.com/media/Dbzob08VwAAY5ED.jpg")</f>
        <v/>
      </c>
      <c r="G2243" t="s"/>
      <c r="H2243" t="s"/>
      <c r="I2243" t="s"/>
      <c r="J2243" t="n">
        <v>0</v>
      </c>
      <c r="K2243" t="n">
        <v>0</v>
      </c>
      <c r="L2243" t="n">
        <v>1</v>
      </c>
      <c r="M2243" t="n">
        <v>0</v>
      </c>
    </row>
    <row r="2244" spans="1:13">
      <c r="A2244" s="1">
        <f>HYPERLINK("http://www.twitter.com/NathanBLawrence/status/989924745289252865", "989924745289252865")</f>
        <v/>
      </c>
      <c r="B2244" s="2" t="n">
        <v>43217.74334490741</v>
      </c>
      <c r="C2244" t="n">
        <v>0</v>
      </c>
      <c r="D2244" t="n">
        <v>125</v>
      </c>
      <c r="E2244" t="s">
        <v>2251</v>
      </c>
      <c r="F2244">
        <f>HYPERLINK("http://pbs.twimg.com/media/Dby_kGVVMAASc-H.jpg", "http://pbs.twimg.com/media/Dby_kGVVMAASc-H.jpg")</f>
        <v/>
      </c>
      <c r="G2244" t="s"/>
      <c r="H2244" t="s"/>
      <c r="I2244" t="s"/>
      <c r="J2244" t="n">
        <v>0.8172</v>
      </c>
      <c r="K2244" t="n">
        <v>0</v>
      </c>
      <c r="L2244" t="n">
        <v>0.667</v>
      </c>
      <c r="M2244" t="n">
        <v>0.333</v>
      </c>
    </row>
    <row r="2245" spans="1:13">
      <c r="A2245" s="1">
        <f>HYPERLINK("http://www.twitter.com/NathanBLawrence/status/989924629786517506", "989924629786517506")</f>
        <v/>
      </c>
      <c r="B2245" s="2" t="n">
        <v>43217.74303240741</v>
      </c>
      <c r="C2245" t="n">
        <v>0</v>
      </c>
      <c r="D2245" t="n">
        <v>190</v>
      </c>
      <c r="E2245" t="s">
        <v>2252</v>
      </c>
      <c r="F2245" t="s"/>
      <c r="G2245" t="s"/>
      <c r="H2245" t="s"/>
      <c r="I2245" t="s"/>
      <c r="J2245" t="n">
        <v>0</v>
      </c>
      <c r="K2245" t="n">
        <v>0</v>
      </c>
      <c r="L2245" t="n">
        <v>1</v>
      </c>
      <c r="M2245" t="n">
        <v>0</v>
      </c>
    </row>
    <row r="2246" spans="1:13">
      <c r="A2246" s="1">
        <f>HYPERLINK("http://www.twitter.com/NathanBLawrence/status/989924592683700224", "989924592683700224")</f>
        <v/>
      </c>
      <c r="B2246" s="2" t="n">
        <v>43217.74292824074</v>
      </c>
      <c r="C2246" t="n">
        <v>0</v>
      </c>
      <c r="D2246" t="n">
        <v>590</v>
      </c>
      <c r="E2246" t="s">
        <v>2253</v>
      </c>
      <c r="F2246">
        <f>HYPERLINK("https://video.twimg.com/amplify_video/917491032098529282/vid/720x720/oMcnLDAbZ7NS-d4P.mp4", "https://video.twimg.com/amplify_video/917491032098529282/vid/720x720/oMcnLDAbZ7NS-d4P.mp4")</f>
        <v/>
      </c>
      <c r="G2246" t="s"/>
      <c r="H2246" t="s"/>
      <c r="I2246" t="s"/>
      <c r="J2246" t="n">
        <v>0</v>
      </c>
      <c r="K2246" t="n">
        <v>0</v>
      </c>
      <c r="L2246" t="n">
        <v>1</v>
      </c>
      <c r="M2246" t="n">
        <v>0</v>
      </c>
    </row>
    <row r="2247" spans="1:13">
      <c r="A2247" s="1">
        <f>HYPERLINK("http://www.twitter.com/NathanBLawrence/status/989924336357097473", "989924336357097473")</f>
        <v/>
      </c>
      <c r="B2247" s="2" t="n">
        <v>43217.74222222222</v>
      </c>
      <c r="C2247" t="n">
        <v>0</v>
      </c>
      <c r="D2247" t="n">
        <v>1334</v>
      </c>
      <c r="E2247" t="s">
        <v>2254</v>
      </c>
      <c r="F2247" t="s"/>
      <c r="G2247" t="s"/>
      <c r="H2247" t="s"/>
      <c r="I2247" t="s"/>
      <c r="J2247" t="n">
        <v>0.2263</v>
      </c>
      <c r="K2247" t="n">
        <v>0.12</v>
      </c>
      <c r="L2247" t="n">
        <v>0.6909999999999999</v>
      </c>
      <c r="M2247" t="n">
        <v>0.189</v>
      </c>
    </row>
    <row r="2248" spans="1:13">
      <c r="A2248" s="1">
        <f>HYPERLINK("http://www.twitter.com/NathanBLawrence/status/989924247190487040", "989924247190487040")</f>
        <v/>
      </c>
      <c r="B2248" s="2" t="n">
        <v>43217.74197916667</v>
      </c>
      <c r="C2248" t="n">
        <v>0</v>
      </c>
      <c r="D2248" t="n">
        <v>342</v>
      </c>
      <c r="E2248" t="s">
        <v>2255</v>
      </c>
      <c r="F2248" t="s"/>
      <c r="G2248" t="s"/>
      <c r="H2248" t="s"/>
      <c r="I2248" t="s"/>
      <c r="J2248" t="n">
        <v>-0.504</v>
      </c>
      <c r="K2248" t="n">
        <v>0.129</v>
      </c>
      <c r="L2248" t="n">
        <v>0.871</v>
      </c>
      <c r="M2248" t="n">
        <v>0</v>
      </c>
    </row>
    <row r="2249" spans="1:13">
      <c r="A2249" s="1">
        <f>HYPERLINK("http://www.twitter.com/NathanBLawrence/status/989924085458075649", "989924085458075649")</f>
        <v/>
      </c>
      <c r="B2249" s="2" t="n">
        <v>43217.74152777778</v>
      </c>
      <c r="C2249" t="n">
        <v>0</v>
      </c>
      <c r="D2249" t="n">
        <v>3</v>
      </c>
      <c r="E2249" t="s">
        <v>2256</v>
      </c>
      <c r="F2249">
        <f>HYPERLINK("http://pbs.twimg.com/media/DbygKS0X0AEtSaV.jpg", "http://pbs.twimg.com/media/DbygKS0X0AEtSaV.jpg")</f>
        <v/>
      </c>
      <c r="G2249" t="s"/>
      <c r="H2249" t="s"/>
      <c r="I2249" t="s"/>
      <c r="J2249" t="n">
        <v>0</v>
      </c>
      <c r="K2249" t="n">
        <v>0</v>
      </c>
      <c r="L2249" t="n">
        <v>1</v>
      </c>
      <c r="M2249" t="n">
        <v>0</v>
      </c>
    </row>
    <row r="2250" spans="1:13">
      <c r="A2250" s="1">
        <f>HYPERLINK("http://www.twitter.com/NathanBLawrence/status/989923592606441472", "989923592606441472")</f>
        <v/>
      </c>
      <c r="B2250" s="2" t="n">
        <v>43217.74017361111</v>
      </c>
      <c r="C2250" t="n">
        <v>0</v>
      </c>
      <c r="D2250" t="n">
        <v>529</v>
      </c>
      <c r="E2250" t="s">
        <v>2257</v>
      </c>
      <c r="F2250">
        <f>HYPERLINK("http://pbs.twimg.com/media/Dby_6KsWsAArDiy.jpg", "http://pbs.twimg.com/media/Dby_6KsWsAArDiy.jpg")</f>
        <v/>
      </c>
      <c r="G2250" t="s"/>
      <c r="H2250" t="s"/>
      <c r="I2250" t="s"/>
      <c r="J2250" t="n">
        <v>-0.536</v>
      </c>
      <c r="K2250" t="n">
        <v>0.224</v>
      </c>
      <c r="L2250" t="n">
        <v>0.776</v>
      </c>
      <c r="M2250" t="n">
        <v>0</v>
      </c>
    </row>
    <row r="2251" spans="1:13">
      <c r="A2251" s="1">
        <f>HYPERLINK("http://www.twitter.com/NathanBLawrence/status/989923478408118272", "989923478408118272")</f>
        <v/>
      </c>
      <c r="B2251" s="2" t="n">
        <v>43217.73984953704</v>
      </c>
      <c r="C2251" t="n">
        <v>0</v>
      </c>
      <c r="D2251" t="n">
        <v>646</v>
      </c>
      <c r="E2251" t="s">
        <v>2258</v>
      </c>
      <c r="F2251" t="s"/>
      <c r="G2251" t="s"/>
      <c r="H2251" t="s"/>
      <c r="I2251" t="s"/>
      <c r="J2251" t="n">
        <v>-0.128</v>
      </c>
      <c r="K2251" t="n">
        <v>0.182</v>
      </c>
      <c r="L2251" t="n">
        <v>0.667</v>
      </c>
      <c r="M2251" t="n">
        <v>0.152</v>
      </c>
    </row>
    <row r="2252" spans="1:13">
      <c r="A2252" s="1">
        <f>HYPERLINK("http://www.twitter.com/NathanBLawrence/status/989923289945407488", "989923289945407488")</f>
        <v/>
      </c>
      <c r="B2252" s="2" t="n">
        <v>43217.7393287037</v>
      </c>
      <c r="C2252" t="n">
        <v>0</v>
      </c>
      <c r="D2252" t="n">
        <v>410</v>
      </c>
      <c r="E2252" t="s">
        <v>2259</v>
      </c>
      <c r="F2252">
        <f>HYPERLINK("http://pbs.twimg.com/media/Dby58qRU0AEJJ1Q.jpg", "http://pbs.twimg.com/media/Dby58qRU0AEJJ1Q.jpg")</f>
        <v/>
      </c>
      <c r="G2252">
        <f>HYPERLINK("http://pbs.twimg.com/media/Dby58qWV0AAMohw.jpg", "http://pbs.twimg.com/media/Dby58qWV0AAMohw.jpg")</f>
        <v/>
      </c>
      <c r="H2252">
        <f>HYPERLINK("http://pbs.twimg.com/media/Dby58qVUwAAk7Sv.jpg", "http://pbs.twimg.com/media/Dby58qVUwAAk7Sv.jpg")</f>
        <v/>
      </c>
      <c r="I2252" t="s"/>
      <c r="J2252" t="n">
        <v>0.2263</v>
      </c>
      <c r="K2252" t="n">
        <v>0.094</v>
      </c>
      <c r="L2252" t="n">
        <v>0.773</v>
      </c>
      <c r="M2252" t="n">
        <v>0.133</v>
      </c>
    </row>
    <row r="2253" spans="1:13">
      <c r="A2253" s="1">
        <f>HYPERLINK("http://www.twitter.com/NathanBLawrence/status/989923139323744257", "989923139323744257")</f>
        <v/>
      </c>
      <c r="B2253" s="2" t="n">
        <v>43217.73891203704</v>
      </c>
      <c r="C2253" t="n">
        <v>0</v>
      </c>
      <c r="D2253" t="n">
        <v>14</v>
      </c>
      <c r="E2253" t="s">
        <v>2260</v>
      </c>
      <c r="F2253">
        <f>HYPERLINK("http://pbs.twimg.com/media/DbyzBuHWsAMtXtM.jpg", "http://pbs.twimg.com/media/DbyzBuHWsAMtXtM.jpg")</f>
        <v/>
      </c>
      <c r="G2253" t="s"/>
      <c r="H2253" t="s"/>
      <c r="I2253" t="s"/>
      <c r="J2253" t="n">
        <v>0</v>
      </c>
      <c r="K2253" t="n">
        <v>0</v>
      </c>
      <c r="L2253" t="n">
        <v>1</v>
      </c>
      <c r="M2253" t="n">
        <v>0</v>
      </c>
    </row>
    <row r="2254" spans="1:13">
      <c r="A2254" s="1">
        <f>HYPERLINK("http://www.twitter.com/NathanBLawrence/status/989923065978015744", "989923065978015744")</f>
        <v/>
      </c>
      <c r="B2254" s="2" t="n">
        <v>43217.73871527778</v>
      </c>
      <c r="C2254" t="n">
        <v>0</v>
      </c>
      <c r="D2254" t="n">
        <v>783</v>
      </c>
      <c r="E2254" t="s">
        <v>2261</v>
      </c>
      <c r="F2254" t="s"/>
      <c r="G2254" t="s"/>
      <c r="H2254" t="s"/>
      <c r="I2254" t="s"/>
      <c r="J2254" t="n">
        <v>0.8016</v>
      </c>
      <c r="K2254" t="n">
        <v>0.07199999999999999</v>
      </c>
      <c r="L2254" t="n">
        <v>0.621</v>
      </c>
      <c r="M2254" t="n">
        <v>0.307</v>
      </c>
    </row>
    <row r="2255" spans="1:13">
      <c r="A2255" s="1">
        <f>HYPERLINK("http://www.twitter.com/NathanBLawrence/status/989923000530042880", "989923000530042880")</f>
        <v/>
      </c>
      <c r="B2255" s="2" t="n">
        <v>43217.7385300926</v>
      </c>
      <c r="C2255" t="n">
        <v>0</v>
      </c>
      <c r="D2255" t="n">
        <v>6</v>
      </c>
      <c r="E2255" t="s">
        <v>2262</v>
      </c>
      <c r="F2255" t="s"/>
      <c r="G2255" t="s"/>
      <c r="H2255" t="s"/>
      <c r="I2255" t="s"/>
      <c r="J2255" t="n">
        <v>0.636</v>
      </c>
      <c r="K2255" t="n">
        <v>0.121</v>
      </c>
      <c r="L2255" t="n">
        <v>0.584</v>
      </c>
      <c r="M2255" t="n">
        <v>0.296</v>
      </c>
    </row>
    <row r="2256" spans="1:13">
      <c r="A2256" s="1">
        <f>HYPERLINK("http://www.twitter.com/NathanBLawrence/status/989922966421913600", "989922966421913600")</f>
        <v/>
      </c>
      <c r="B2256" s="2" t="n">
        <v>43217.7384375</v>
      </c>
      <c r="C2256" t="n">
        <v>0</v>
      </c>
      <c r="D2256" t="n">
        <v>4055</v>
      </c>
      <c r="E2256" t="s">
        <v>2263</v>
      </c>
      <c r="F2256" t="s"/>
      <c r="G2256" t="s"/>
      <c r="H2256" t="s"/>
      <c r="I2256" t="s"/>
      <c r="J2256" t="n">
        <v>0.4404</v>
      </c>
      <c r="K2256" t="n">
        <v>0</v>
      </c>
      <c r="L2256" t="n">
        <v>0.888</v>
      </c>
      <c r="M2256" t="n">
        <v>0.112</v>
      </c>
    </row>
    <row r="2257" spans="1:13">
      <c r="A2257" s="1">
        <f>HYPERLINK("http://www.twitter.com/NathanBLawrence/status/989922787534913541", "989922787534913541")</f>
        <v/>
      </c>
      <c r="B2257" s="2" t="n">
        <v>43217.73795138889</v>
      </c>
      <c r="C2257" t="n">
        <v>0</v>
      </c>
      <c r="D2257" t="n">
        <v>2718</v>
      </c>
      <c r="E2257" t="s">
        <v>2264</v>
      </c>
      <c r="F2257" t="s"/>
      <c r="G2257" t="s"/>
      <c r="H2257" t="s"/>
      <c r="I2257" t="s"/>
      <c r="J2257" t="n">
        <v>0</v>
      </c>
      <c r="K2257" t="n">
        <v>0</v>
      </c>
      <c r="L2257" t="n">
        <v>1</v>
      </c>
      <c r="M2257" t="n">
        <v>0</v>
      </c>
    </row>
    <row r="2258" spans="1:13">
      <c r="A2258" s="1">
        <f>HYPERLINK("http://www.twitter.com/NathanBLawrence/status/989922639916417024", "989922639916417024")</f>
        <v/>
      </c>
      <c r="B2258" s="2" t="n">
        <v>43217.73753472222</v>
      </c>
      <c r="C2258" t="n">
        <v>0</v>
      </c>
      <c r="D2258" t="n">
        <v>799</v>
      </c>
      <c r="E2258" t="s">
        <v>2265</v>
      </c>
      <c r="F2258" t="s"/>
      <c r="G2258" t="s"/>
      <c r="H2258" t="s"/>
      <c r="I2258" t="s"/>
      <c r="J2258" t="n">
        <v>-0.7506</v>
      </c>
      <c r="K2258" t="n">
        <v>0.39</v>
      </c>
      <c r="L2258" t="n">
        <v>0.61</v>
      </c>
      <c r="M2258" t="n">
        <v>0</v>
      </c>
    </row>
    <row r="2259" spans="1:13">
      <c r="A2259" s="1">
        <f>HYPERLINK("http://www.twitter.com/NathanBLawrence/status/989922583540781056", "989922583540781056")</f>
        <v/>
      </c>
      <c r="B2259" s="2" t="n">
        <v>43217.73738425926</v>
      </c>
      <c r="C2259" t="n">
        <v>0</v>
      </c>
      <c r="D2259" t="n">
        <v>4426</v>
      </c>
      <c r="E2259" t="s">
        <v>2266</v>
      </c>
      <c r="F2259" t="s"/>
      <c r="G2259" t="s"/>
      <c r="H2259" t="s"/>
      <c r="I2259" t="s"/>
      <c r="J2259" t="n">
        <v>-0.8074</v>
      </c>
      <c r="K2259" t="n">
        <v>0.307</v>
      </c>
      <c r="L2259" t="n">
        <v>0.608</v>
      </c>
      <c r="M2259" t="n">
        <v>0.08500000000000001</v>
      </c>
    </row>
    <row r="2260" spans="1:13">
      <c r="A2260" s="1">
        <f>HYPERLINK("http://www.twitter.com/NathanBLawrence/status/989922513999269888", "989922513999269888")</f>
        <v/>
      </c>
      <c r="B2260" s="2" t="n">
        <v>43217.7371875</v>
      </c>
      <c r="C2260" t="n">
        <v>0</v>
      </c>
      <c r="D2260" t="n">
        <v>34197</v>
      </c>
      <c r="E2260" t="s">
        <v>2267</v>
      </c>
      <c r="F2260" t="s"/>
      <c r="G2260" t="s"/>
      <c r="H2260" t="s"/>
      <c r="I2260" t="s"/>
      <c r="J2260" t="n">
        <v>0.6249</v>
      </c>
      <c r="K2260" t="n">
        <v>0</v>
      </c>
      <c r="L2260" t="n">
        <v>0.837</v>
      </c>
      <c r="M2260" t="n">
        <v>0.163</v>
      </c>
    </row>
    <row r="2261" spans="1:13">
      <c r="A2261" s="1">
        <f>HYPERLINK("http://www.twitter.com/NathanBLawrence/status/989922390791499776", "989922390791499776")</f>
        <v/>
      </c>
      <c r="B2261" s="2" t="n">
        <v>43217.73685185185</v>
      </c>
      <c r="C2261" t="n">
        <v>0</v>
      </c>
      <c r="D2261" t="n">
        <v>739</v>
      </c>
      <c r="E2261" t="s">
        <v>2268</v>
      </c>
      <c r="F2261" t="s"/>
      <c r="G2261" t="s"/>
      <c r="H2261" t="s"/>
      <c r="I2261" t="s"/>
      <c r="J2261" t="n">
        <v>-0.3182</v>
      </c>
      <c r="K2261" t="n">
        <v>0.158</v>
      </c>
      <c r="L2261" t="n">
        <v>0.744</v>
      </c>
      <c r="M2261" t="n">
        <v>0.098</v>
      </c>
    </row>
    <row r="2262" spans="1:13">
      <c r="A2262" s="1">
        <f>HYPERLINK("http://www.twitter.com/NathanBLawrence/status/989922320964714496", "989922320964714496")</f>
        <v/>
      </c>
      <c r="B2262" s="2" t="n">
        <v>43217.73665509259</v>
      </c>
      <c r="C2262" t="n">
        <v>11</v>
      </c>
      <c r="D2262" t="n">
        <v>6</v>
      </c>
      <c r="E2262" t="s">
        <v>2269</v>
      </c>
      <c r="F2262" t="s"/>
      <c r="G2262" t="s"/>
      <c r="H2262" t="s"/>
      <c r="I2262" t="s"/>
      <c r="J2262" t="n">
        <v>-0.6705</v>
      </c>
      <c r="K2262" t="n">
        <v>0.215</v>
      </c>
      <c r="L2262" t="n">
        <v>0.708</v>
      </c>
      <c r="M2262" t="n">
        <v>0.077</v>
      </c>
    </row>
    <row r="2263" spans="1:13">
      <c r="A2263" s="1">
        <f>HYPERLINK("http://www.twitter.com/NathanBLawrence/status/989922200865013761", "989922200865013761")</f>
        <v/>
      </c>
      <c r="B2263" s="2" t="n">
        <v>43217.73633101852</v>
      </c>
      <c r="C2263" t="n">
        <v>1</v>
      </c>
      <c r="D2263" t="n">
        <v>0</v>
      </c>
      <c r="E2263" t="s">
        <v>2270</v>
      </c>
      <c r="F2263" t="s"/>
      <c r="G2263" t="s"/>
      <c r="H2263" t="s"/>
      <c r="I2263" t="s"/>
      <c r="J2263" t="n">
        <v>-0.6705</v>
      </c>
      <c r="K2263" t="n">
        <v>0.23</v>
      </c>
      <c r="L2263" t="n">
        <v>0.6889999999999999</v>
      </c>
      <c r="M2263" t="n">
        <v>0.082</v>
      </c>
    </row>
    <row r="2264" spans="1:13">
      <c r="A2264" s="1">
        <f>HYPERLINK("http://www.twitter.com/NathanBLawrence/status/989920832393695232", "989920832393695232")</f>
        <v/>
      </c>
      <c r="B2264" s="2" t="n">
        <v>43217.7325462963</v>
      </c>
      <c r="C2264" t="n">
        <v>4</v>
      </c>
      <c r="D2264" t="n">
        <v>2</v>
      </c>
      <c r="E2264" t="s">
        <v>2271</v>
      </c>
      <c r="F2264" t="s"/>
      <c r="G2264" t="s"/>
      <c r="H2264" t="s"/>
      <c r="I2264" t="s"/>
      <c r="J2264" t="n">
        <v>0.8065</v>
      </c>
      <c r="K2264" t="n">
        <v>0</v>
      </c>
      <c r="L2264" t="n">
        <v>0.6870000000000001</v>
      </c>
      <c r="M2264" t="n">
        <v>0.313</v>
      </c>
    </row>
    <row r="2265" spans="1:13">
      <c r="A2265" s="1">
        <f>HYPERLINK("http://www.twitter.com/NathanBLawrence/status/989920086721945600", "989920086721945600")</f>
        <v/>
      </c>
      <c r="B2265" s="2" t="n">
        <v>43217.73049768519</v>
      </c>
      <c r="C2265" t="n">
        <v>0</v>
      </c>
      <c r="D2265" t="n">
        <v>2161</v>
      </c>
      <c r="E2265" t="s">
        <v>2272</v>
      </c>
      <c r="F2265" t="s"/>
      <c r="G2265" t="s"/>
      <c r="H2265" t="s"/>
      <c r="I2265" t="s"/>
      <c r="J2265" t="n">
        <v>0</v>
      </c>
      <c r="K2265" t="n">
        <v>0</v>
      </c>
      <c r="L2265" t="n">
        <v>1</v>
      </c>
      <c r="M2265" t="n">
        <v>0</v>
      </c>
    </row>
    <row r="2266" spans="1:13">
      <c r="A2266" s="1">
        <f>HYPERLINK("http://www.twitter.com/NathanBLawrence/status/989920014672183297", "989920014672183297")</f>
        <v/>
      </c>
      <c r="B2266" s="2" t="n">
        <v>43217.73028935185</v>
      </c>
      <c r="C2266" t="n">
        <v>0</v>
      </c>
      <c r="D2266" t="n">
        <v>3182</v>
      </c>
      <c r="E2266" t="s">
        <v>2273</v>
      </c>
      <c r="F2266">
        <f>HYPERLINK("http://pbs.twimg.com/media/DbzJk6AWsAA_GsJ.jpg", "http://pbs.twimg.com/media/DbzJk6AWsAA_GsJ.jpg")</f>
        <v/>
      </c>
      <c r="G2266" t="s"/>
      <c r="H2266" t="s"/>
      <c r="I2266" t="s"/>
      <c r="J2266" t="n">
        <v>0.6696</v>
      </c>
      <c r="K2266" t="n">
        <v>0</v>
      </c>
      <c r="L2266" t="n">
        <v>0.8169999999999999</v>
      </c>
      <c r="M2266" t="n">
        <v>0.183</v>
      </c>
    </row>
    <row r="2267" spans="1:13">
      <c r="A2267" s="1">
        <f>HYPERLINK("http://www.twitter.com/NathanBLawrence/status/989919970531278848", "989919970531278848")</f>
        <v/>
      </c>
      <c r="B2267" s="2" t="n">
        <v>43217.73017361111</v>
      </c>
      <c r="C2267" t="n">
        <v>0</v>
      </c>
      <c r="D2267" t="n">
        <v>355</v>
      </c>
      <c r="E2267" t="s">
        <v>2274</v>
      </c>
      <c r="F2267" t="s"/>
      <c r="G2267" t="s"/>
      <c r="H2267" t="s"/>
      <c r="I2267" t="s"/>
      <c r="J2267" t="n">
        <v>0.3818</v>
      </c>
      <c r="K2267" t="n">
        <v>0</v>
      </c>
      <c r="L2267" t="n">
        <v>0.867</v>
      </c>
      <c r="M2267" t="n">
        <v>0.133</v>
      </c>
    </row>
    <row r="2268" spans="1:13">
      <c r="A2268" s="1">
        <f>HYPERLINK("http://www.twitter.com/NathanBLawrence/status/989919769183666178", "989919769183666178")</f>
        <v/>
      </c>
      <c r="B2268" s="2" t="n">
        <v>43217.72961805556</v>
      </c>
      <c r="C2268" t="n">
        <v>0</v>
      </c>
      <c r="D2268" t="n">
        <v>2160</v>
      </c>
      <c r="E2268" t="s">
        <v>2275</v>
      </c>
      <c r="F2268" t="s"/>
      <c r="G2268" t="s"/>
      <c r="H2268" t="s"/>
      <c r="I2268" t="s"/>
      <c r="J2268" t="n">
        <v>0.8070000000000001</v>
      </c>
      <c r="K2268" t="n">
        <v>0</v>
      </c>
      <c r="L2268" t="n">
        <v>0.751</v>
      </c>
      <c r="M2268" t="n">
        <v>0.249</v>
      </c>
    </row>
    <row r="2269" spans="1:13">
      <c r="A2269" s="1">
        <f>HYPERLINK("http://www.twitter.com/NathanBLawrence/status/989919631329476608", "989919631329476608")</f>
        <v/>
      </c>
      <c r="B2269" s="2" t="n">
        <v>43217.72923611111</v>
      </c>
      <c r="C2269" t="n">
        <v>0</v>
      </c>
      <c r="D2269" t="n">
        <v>1711</v>
      </c>
      <c r="E2269" t="s">
        <v>2276</v>
      </c>
      <c r="F2269" t="s"/>
      <c r="G2269" t="s"/>
      <c r="H2269" t="s"/>
      <c r="I2269" t="s"/>
      <c r="J2269" t="n">
        <v>0.4019</v>
      </c>
      <c r="K2269" t="n">
        <v>0</v>
      </c>
      <c r="L2269" t="n">
        <v>0.899</v>
      </c>
      <c r="M2269" t="n">
        <v>0.101</v>
      </c>
    </row>
    <row r="2270" spans="1:13">
      <c r="A2270" s="1">
        <f>HYPERLINK("http://www.twitter.com/NathanBLawrence/status/989919494213550080", "989919494213550080")</f>
        <v/>
      </c>
      <c r="B2270" s="2" t="n">
        <v>43217.72885416666</v>
      </c>
      <c r="C2270" t="n">
        <v>0</v>
      </c>
      <c r="D2270" t="n">
        <v>738</v>
      </c>
      <c r="E2270" t="s">
        <v>2277</v>
      </c>
      <c r="F2270" t="s"/>
      <c r="G2270" t="s"/>
      <c r="H2270" t="s"/>
      <c r="I2270" t="s"/>
      <c r="J2270" t="n">
        <v>-0.4898</v>
      </c>
      <c r="K2270" t="n">
        <v>0.26</v>
      </c>
      <c r="L2270" t="n">
        <v>0.599</v>
      </c>
      <c r="M2270" t="n">
        <v>0.141</v>
      </c>
    </row>
    <row r="2271" spans="1:13">
      <c r="A2271" s="1">
        <f>HYPERLINK("http://www.twitter.com/NathanBLawrence/status/989919448885739520", "989919448885739520")</f>
        <v/>
      </c>
      <c r="B2271" s="2" t="n">
        <v>43217.72873842593</v>
      </c>
      <c r="C2271" t="n">
        <v>0</v>
      </c>
      <c r="D2271" t="n">
        <v>13</v>
      </c>
      <c r="E2271" t="s">
        <v>2278</v>
      </c>
      <c r="F2271" t="s"/>
      <c r="G2271" t="s"/>
      <c r="H2271" t="s"/>
      <c r="I2271" t="s"/>
      <c r="J2271" t="n">
        <v>-0.4215</v>
      </c>
      <c r="K2271" t="n">
        <v>0.135</v>
      </c>
      <c r="L2271" t="n">
        <v>0.865</v>
      </c>
      <c r="M2271" t="n">
        <v>0</v>
      </c>
    </row>
    <row r="2272" spans="1:13">
      <c r="A2272" s="1">
        <f>HYPERLINK("http://www.twitter.com/NathanBLawrence/status/989919216257024000", "989919216257024000")</f>
        <v/>
      </c>
      <c r="B2272" s="2" t="n">
        <v>43217.72809027778</v>
      </c>
      <c r="C2272" t="n">
        <v>0</v>
      </c>
      <c r="D2272" t="n">
        <v>4986</v>
      </c>
      <c r="E2272" t="s">
        <v>2279</v>
      </c>
      <c r="F2272" t="s"/>
      <c r="G2272" t="s"/>
      <c r="H2272" t="s"/>
      <c r="I2272" t="s"/>
      <c r="J2272" t="n">
        <v>0.8555</v>
      </c>
      <c r="K2272" t="n">
        <v>0.042</v>
      </c>
      <c r="L2272" t="n">
        <v>0.625</v>
      </c>
      <c r="M2272" t="n">
        <v>0.333</v>
      </c>
    </row>
    <row r="2273" spans="1:13">
      <c r="A2273" s="1">
        <f>HYPERLINK("http://www.twitter.com/NathanBLawrence/status/989919148351238144", "989919148351238144")</f>
        <v/>
      </c>
      <c r="B2273" s="2" t="n">
        <v>43217.72790509259</v>
      </c>
      <c r="C2273" t="n">
        <v>0</v>
      </c>
      <c r="D2273" t="n">
        <v>564</v>
      </c>
      <c r="E2273" t="s">
        <v>2280</v>
      </c>
      <c r="F2273" t="s"/>
      <c r="G2273" t="s"/>
      <c r="H2273" t="s"/>
      <c r="I2273" t="s"/>
      <c r="J2273" t="n">
        <v>0.8481</v>
      </c>
      <c r="K2273" t="n">
        <v>0.063</v>
      </c>
      <c r="L2273" t="n">
        <v>0.6</v>
      </c>
      <c r="M2273" t="n">
        <v>0.337</v>
      </c>
    </row>
    <row r="2274" spans="1:13">
      <c r="A2274" s="1">
        <f>HYPERLINK("http://www.twitter.com/NathanBLawrence/status/989918939076481025", "989918939076481025")</f>
        <v/>
      </c>
      <c r="B2274" s="2" t="n">
        <v>43217.72732638889</v>
      </c>
      <c r="C2274" t="n">
        <v>0</v>
      </c>
      <c r="D2274" t="n">
        <v>0</v>
      </c>
      <c r="E2274" t="s">
        <v>2281</v>
      </c>
      <c r="F2274" t="s"/>
      <c r="G2274" t="s"/>
      <c r="H2274" t="s"/>
      <c r="I2274" t="s"/>
      <c r="J2274" t="n">
        <v>0.2263</v>
      </c>
      <c r="K2274" t="n">
        <v>0</v>
      </c>
      <c r="L2274" t="n">
        <v>0.853</v>
      </c>
      <c r="M2274" t="n">
        <v>0.147</v>
      </c>
    </row>
    <row r="2275" spans="1:13">
      <c r="A2275" s="1">
        <f>HYPERLINK("http://www.twitter.com/NathanBLawrence/status/989917962394980353", "989917962394980353")</f>
        <v/>
      </c>
      <c r="B2275" s="2" t="n">
        <v>43217.72462962963</v>
      </c>
      <c r="C2275" t="n">
        <v>0</v>
      </c>
      <c r="D2275" t="n">
        <v>8226</v>
      </c>
      <c r="E2275" t="s">
        <v>2282</v>
      </c>
      <c r="F2275" t="s"/>
      <c r="G2275" t="s"/>
      <c r="H2275" t="s"/>
      <c r="I2275" t="s"/>
      <c r="J2275" t="n">
        <v>0.7959000000000001</v>
      </c>
      <c r="K2275" t="n">
        <v>0</v>
      </c>
      <c r="L2275" t="n">
        <v>0.553</v>
      </c>
      <c r="M2275" t="n">
        <v>0.447</v>
      </c>
    </row>
    <row r="2276" spans="1:13">
      <c r="A2276" s="1">
        <f>HYPERLINK("http://www.twitter.com/NathanBLawrence/status/989917939561185280", "989917939561185280")</f>
        <v/>
      </c>
      <c r="B2276" s="2" t="n">
        <v>43217.72457175926</v>
      </c>
      <c r="C2276" t="n">
        <v>0</v>
      </c>
      <c r="D2276" t="n">
        <v>592</v>
      </c>
      <c r="E2276" t="s">
        <v>2283</v>
      </c>
      <c r="F2276" t="s"/>
      <c r="G2276" t="s"/>
      <c r="H2276" t="s"/>
      <c r="I2276" t="s"/>
      <c r="J2276" t="n">
        <v>0.5423</v>
      </c>
      <c r="K2276" t="n">
        <v>0.117</v>
      </c>
      <c r="L2276" t="n">
        <v>0.631</v>
      </c>
      <c r="M2276" t="n">
        <v>0.252</v>
      </c>
    </row>
    <row r="2277" spans="1:13">
      <c r="A2277" s="1">
        <f>HYPERLINK("http://www.twitter.com/NathanBLawrence/status/989917869226930176", "989917869226930176")</f>
        <v/>
      </c>
      <c r="B2277" s="2" t="n">
        <v>43217.724375</v>
      </c>
      <c r="C2277" t="n">
        <v>0</v>
      </c>
      <c r="D2277" t="n">
        <v>4262</v>
      </c>
      <c r="E2277" t="s">
        <v>2284</v>
      </c>
      <c r="F2277" t="s"/>
      <c r="G2277" t="s"/>
      <c r="H2277" t="s"/>
      <c r="I2277" t="s"/>
      <c r="J2277" t="n">
        <v>0</v>
      </c>
      <c r="K2277" t="n">
        <v>0</v>
      </c>
      <c r="L2277" t="n">
        <v>1</v>
      </c>
      <c r="M2277" t="n">
        <v>0</v>
      </c>
    </row>
    <row r="2278" spans="1:13">
      <c r="A2278" s="1">
        <f>HYPERLINK("http://www.twitter.com/NathanBLawrence/status/989917807654592512", "989917807654592512")</f>
        <v/>
      </c>
      <c r="B2278" s="2" t="n">
        <v>43217.72420138889</v>
      </c>
      <c r="C2278" t="n">
        <v>2</v>
      </c>
      <c r="D2278" t="n">
        <v>0</v>
      </c>
      <c r="E2278" t="s">
        <v>2285</v>
      </c>
      <c r="F2278" t="s"/>
      <c r="G2278" t="s"/>
      <c r="H2278" t="s"/>
      <c r="I2278" t="s"/>
      <c r="J2278" t="n">
        <v>-0.0258</v>
      </c>
      <c r="K2278" t="n">
        <v>0.103</v>
      </c>
      <c r="L2278" t="n">
        <v>0.798</v>
      </c>
      <c r="M2278" t="n">
        <v>0.099</v>
      </c>
    </row>
    <row r="2279" spans="1:13">
      <c r="A2279" s="1">
        <f>HYPERLINK("http://www.twitter.com/NathanBLawrence/status/989917611843448833", "989917611843448833")</f>
        <v/>
      </c>
      <c r="B2279" s="2" t="n">
        <v>43217.72366898148</v>
      </c>
      <c r="C2279" t="n">
        <v>0</v>
      </c>
      <c r="D2279" t="n">
        <v>12</v>
      </c>
      <c r="E2279" t="s">
        <v>2286</v>
      </c>
      <c r="F2279">
        <f>HYPERLINK("http://pbs.twimg.com/media/DbzJsV-UQAEvRgK.jpg", "http://pbs.twimg.com/media/DbzJsV-UQAEvRgK.jpg")</f>
        <v/>
      </c>
      <c r="G2279" t="s"/>
      <c r="H2279" t="s"/>
      <c r="I2279" t="s"/>
      <c r="J2279" t="n">
        <v>0</v>
      </c>
      <c r="K2279" t="n">
        <v>0</v>
      </c>
      <c r="L2279" t="n">
        <v>1</v>
      </c>
      <c r="M2279" t="n">
        <v>0</v>
      </c>
    </row>
    <row r="2280" spans="1:13">
      <c r="A2280" s="1">
        <f>HYPERLINK("http://www.twitter.com/NathanBLawrence/status/989917497909379072", "989917497909379072")</f>
        <v/>
      </c>
      <c r="B2280" s="2" t="n">
        <v>43217.7233449074</v>
      </c>
      <c r="C2280" t="n">
        <v>0</v>
      </c>
      <c r="D2280" t="n">
        <v>3394</v>
      </c>
      <c r="E2280" t="s">
        <v>2287</v>
      </c>
      <c r="F2280" t="s"/>
      <c r="G2280" t="s"/>
      <c r="H2280" t="s"/>
      <c r="I2280" t="s"/>
      <c r="J2280" t="n">
        <v>-0.8807</v>
      </c>
      <c r="K2280" t="n">
        <v>0.485</v>
      </c>
      <c r="L2280" t="n">
        <v>0.515</v>
      </c>
      <c r="M2280" t="n">
        <v>0</v>
      </c>
    </row>
    <row r="2281" spans="1:13">
      <c r="A2281" s="1">
        <f>HYPERLINK("http://www.twitter.com/NathanBLawrence/status/989917454502526976", "989917454502526976")</f>
        <v/>
      </c>
      <c r="B2281" s="2" t="n">
        <v>43217.72322916667</v>
      </c>
      <c r="C2281" t="n">
        <v>0</v>
      </c>
      <c r="D2281" t="n">
        <v>6526</v>
      </c>
      <c r="E2281" t="s">
        <v>2288</v>
      </c>
      <c r="F2281">
        <f>HYPERLINK("http://pbs.twimg.com/media/DbyyU4EXUAMtk3M.jpg", "http://pbs.twimg.com/media/DbyyU4EXUAMtk3M.jpg")</f>
        <v/>
      </c>
      <c r="G2281" t="s"/>
      <c r="H2281" t="s"/>
      <c r="I2281" t="s"/>
      <c r="J2281" t="n">
        <v>0.3612</v>
      </c>
      <c r="K2281" t="n">
        <v>0</v>
      </c>
      <c r="L2281" t="n">
        <v>0.889</v>
      </c>
      <c r="M2281" t="n">
        <v>0.111</v>
      </c>
    </row>
    <row r="2282" spans="1:13">
      <c r="A2282" s="1">
        <f>HYPERLINK("http://www.twitter.com/NathanBLawrence/status/989917360835325952", "989917360835325952")</f>
        <v/>
      </c>
      <c r="B2282" s="2" t="n">
        <v>43217.72297453704</v>
      </c>
      <c r="C2282" t="n">
        <v>0</v>
      </c>
      <c r="D2282" t="n">
        <v>1289</v>
      </c>
      <c r="E2282" t="s">
        <v>2289</v>
      </c>
      <c r="F2282" t="s"/>
      <c r="G2282" t="s"/>
      <c r="H2282" t="s"/>
      <c r="I2282" t="s"/>
      <c r="J2282" t="n">
        <v>-0.6239</v>
      </c>
      <c r="K2282" t="n">
        <v>0.249</v>
      </c>
      <c r="L2282" t="n">
        <v>0.662</v>
      </c>
      <c r="M2282" t="n">
        <v>0.09</v>
      </c>
    </row>
    <row r="2283" spans="1:13">
      <c r="A2283" s="1">
        <f>HYPERLINK("http://www.twitter.com/NathanBLawrence/status/989917300437348357", "989917300437348357")</f>
        <v/>
      </c>
      <c r="B2283" s="2" t="n">
        <v>43217.72280092593</v>
      </c>
      <c r="C2283" t="n">
        <v>0</v>
      </c>
      <c r="D2283" t="n">
        <v>489</v>
      </c>
      <c r="E2283" t="s">
        <v>2290</v>
      </c>
      <c r="F2283" t="s"/>
      <c r="G2283" t="s"/>
      <c r="H2283" t="s"/>
      <c r="I2283" t="s"/>
      <c r="J2283" t="n">
        <v>-0.3182</v>
      </c>
      <c r="K2283" t="n">
        <v>0.091</v>
      </c>
      <c r="L2283" t="n">
        <v>0.909</v>
      </c>
      <c r="M2283" t="n">
        <v>0</v>
      </c>
    </row>
    <row r="2284" spans="1:13">
      <c r="A2284" s="1">
        <f>HYPERLINK("http://www.twitter.com/NathanBLawrence/status/989917248897728512", "989917248897728512")</f>
        <v/>
      </c>
      <c r="B2284" s="2" t="n">
        <v>43217.72266203703</v>
      </c>
      <c r="C2284" t="n">
        <v>0</v>
      </c>
      <c r="D2284" t="n">
        <v>167</v>
      </c>
      <c r="E2284" t="s">
        <v>2291</v>
      </c>
      <c r="F2284">
        <f>HYPERLINK("http://pbs.twimg.com/media/DbzWlxEXkAAu_L3.jpg", "http://pbs.twimg.com/media/DbzWlxEXkAAu_L3.jpg")</f>
        <v/>
      </c>
      <c r="G2284" t="s"/>
      <c r="H2284" t="s"/>
      <c r="I2284" t="s"/>
      <c r="J2284" t="n">
        <v>0</v>
      </c>
      <c r="K2284" t="n">
        <v>0</v>
      </c>
      <c r="L2284" t="n">
        <v>1</v>
      </c>
      <c r="M2284" t="n">
        <v>0</v>
      </c>
    </row>
    <row r="2285" spans="1:13">
      <c r="A2285" s="1">
        <f>HYPERLINK("http://www.twitter.com/NathanBLawrence/status/989916929191170049", "989916929191170049")</f>
        <v/>
      </c>
      <c r="B2285" s="2" t="n">
        <v>43217.72178240741</v>
      </c>
      <c r="C2285" t="n">
        <v>0</v>
      </c>
      <c r="D2285" t="n">
        <v>25</v>
      </c>
      <c r="E2285" t="s">
        <v>2292</v>
      </c>
      <c r="F2285">
        <f>HYPERLINK("http://pbs.twimg.com/media/DbzUJgxXcAEA5In.jpg", "http://pbs.twimg.com/media/DbzUJgxXcAEA5In.jpg")</f>
        <v/>
      </c>
      <c r="G2285" t="s"/>
      <c r="H2285" t="s"/>
      <c r="I2285" t="s"/>
      <c r="J2285" t="n">
        <v>0</v>
      </c>
      <c r="K2285" t="n">
        <v>0</v>
      </c>
      <c r="L2285" t="n">
        <v>1</v>
      </c>
      <c r="M2285" t="n">
        <v>0</v>
      </c>
    </row>
    <row r="2286" spans="1:13">
      <c r="A2286" s="1">
        <f>HYPERLINK("http://www.twitter.com/NathanBLawrence/status/989916733904310277", "989916733904310277")</f>
        <v/>
      </c>
      <c r="B2286" s="2" t="n">
        <v>43217.72123842593</v>
      </c>
      <c r="C2286" t="n">
        <v>0</v>
      </c>
      <c r="D2286" t="n">
        <v>108</v>
      </c>
      <c r="E2286" t="s">
        <v>2293</v>
      </c>
      <c r="F2286" t="s"/>
      <c r="G2286" t="s"/>
      <c r="H2286" t="s"/>
      <c r="I2286" t="s"/>
      <c r="J2286" t="n">
        <v>0.3612</v>
      </c>
      <c r="K2286" t="n">
        <v>0</v>
      </c>
      <c r="L2286" t="n">
        <v>0.884</v>
      </c>
      <c r="M2286" t="n">
        <v>0.116</v>
      </c>
    </row>
    <row r="2287" spans="1:13">
      <c r="A2287" s="1">
        <f>HYPERLINK("http://www.twitter.com/NathanBLawrence/status/989916626559488007", "989916626559488007")</f>
        <v/>
      </c>
      <c r="B2287" s="2" t="n">
        <v>43217.72094907407</v>
      </c>
      <c r="C2287" t="n">
        <v>0</v>
      </c>
      <c r="D2287" t="n">
        <v>1741</v>
      </c>
      <c r="E2287" t="s">
        <v>2294</v>
      </c>
      <c r="F2287">
        <f>HYPERLINK("http://pbs.twimg.com/media/DbzXcG4VQAEwJrn.jpg", "http://pbs.twimg.com/media/DbzXcG4VQAEwJrn.jpg")</f>
        <v/>
      </c>
      <c r="G2287" t="s"/>
      <c r="H2287" t="s"/>
      <c r="I2287" t="s"/>
      <c r="J2287" t="n">
        <v>-0.4926</v>
      </c>
      <c r="K2287" t="n">
        <v>0.138</v>
      </c>
      <c r="L2287" t="n">
        <v>0.862</v>
      </c>
      <c r="M2287" t="n">
        <v>0</v>
      </c>
    </row>
    <row r="2288" spans="1:13">
      <c r="A2288" s="1">
        <f>HYPERLINK("http://www.twitter.com/NathanBLawrence/status/989916226276081665", "989916226276081665")</f>
        <v/>
      </c>
      <c r="B2288" s="2" t="n">
        <v>43217.71983796296</v>
      </c>
      <c r="C2288" t="n">
        <v>0</v>
      </c>
      <c r="D2288" t="n">
        <v>930</v>
      </c>
      <c r="E2288" t="s">
        <v>2295</v>
      </c>
      <c r="F2288">
        <f>HYPERLINK("http://pbs.twimg.com/media/DbzSwXYUQAA-_0h.jpg", "http://pbs.twimg.com/media/DbzSwXYUQAA-_0h.jpg")</f>
        <v/>
      </c>
      <c r="G2288">
        <f>HYPERLINK("http://pbs.twimg.com/media/DbzSwXVUQAE5oEv.jpg", "http://pbs.twimg.com/media/DbzSwXVUQAE5oEv.jpg")</f>
        <v/>
      </c>
      <c r="H2288" t="s"/>
      <c r="I2288" t="s"/>
      <c r="J2288" t="n">
        <v>-0.5994</v>
      </c>
      <c r="K2288" t="n">
        <v>0.214</v>
      </c>
      <c r="L2288" t="n">
        <v>0.786</v>
      </c>
      <c r="M2288" t="n">
        <v>0</v>
      </c>
    </row>
    <row r="2289" spans="1:13">
      <c r="A2289" s="1">
        <f>HYPERLINK("http://www.twitter.com/NathanBLawrence/status/989916127823253504", "989916127823253504")</f>
        <v/>
      </c>
      <c r="B2289" s="2" t="n">
        <v>43217.71957175926</v>
      </c>
      <c r="C2289" t="n">
        <v>0</v>
      </c>
      <c r="D2289" t="n">
        <v>33498</v>
      </c>
      <c r="E2289" t="s">
        <v>2296</v>
      </c>
      <c r="F2289" t="s"/>
      <c r="G2289" t="s"/>
      <c r="H2289" t="s"/>
      <c r="I2289" t="s"/>
      <c r="J2289" t="n">
        <v>0.4767</v>
      </c>
      <c r="K2289" t="n">
        <v>0</v>
      </c>
      <c r="L2289" t="n">
        <v>0.846</v>
      </c>
      <c r="M2289" t="n">
        <v>0.154</v>
      </c>
    </row>
    <row r="2290" spans="1:13">
      <c r="A2290" s="1">
        <f>HYPERLINK("http://www.twitter.com/NathanBLawrence/status/989916026635669504", "989916026635669504")</f>
        <v/>
      </c>
      <c r="B2290" s="2" t="n">
        <v>43217.71929398148</v>
      </c>
      <c r="C2290" t="n">
        <v>0</v>
      </c>
      <c r="D2290" t="n">
        <v>2197</v>
      </c>
      <c r="E2290" t="s">
        <v>2297</v>
      </c>
      <c r="F2290">
        <f>HYPERLINK("https://video.twimg.com/ext_tw_video/989824504091234304/pu/vid/1280x720/NeAO68SoTojranb9.mp4?tag=3", "https://video.twimg.com/ext_tw_video/989824504091234304/pu/vid/1280x720/NeAO68SoTojranb9.mp4?tag=3")</f>
        <v/>
      </c>
      <c r="G2290" t="s"/>
      <c r="H2290" t="s"/>
      <c r="I2290" t="s"/>
      <c r="J2290" t="n">
        <v>0</v>
      </c>
      <c r="K2290" t="n">
        <v>0</v>
      </c>
      <c r="L2290" t="n">
        <v>1</v>
      </c>
      <c r="M2290" t="n">
        <v>0</v>
      </c>
    </row>
    <row r="2291" spans="1:13">
      <c r="A2291" s="1">
        <f>HYPERLINK("http://www.twitter.com/NathanBLawrence/status/989915915205529600", "989915915205529600")</f>
        <v/>
      </c>
      <c r="B2291" s="2" t="n">
        <v>43217.71898148148</v>
      </c>
      <c r="C2291" t="n">
        <v>0</v>
      </c>
      <c r="D2291" t="n">
        <v>650</v>
      </c>
      <c r="E2291" t="s">
        <v>2298</v>
      </c>
      <c r="F2291" t="s"/>
      <c r="G2291" t="s"/>
      <c r="H2291" t="s"/>
      <c r="I2291" t="s"/>
      <c r="J2291" t="n">
        <v>-0.6808</v>
      </c>
      <c r="K2291" t="n">
        <v>0.286</v>
      </c>
      <c r="L2291" t="n">
        <v>0.714</v>
      </c>
      <c r="M2291" t="n">
        <v>0</v>
      </c>
    </row>
    <row r="2292" spans="1:13">
      <c r="A2292" s="1">
        <f>HYPERLINK("http://www.twitter.com/NathanBLawrence/status/989915815813115904", "989915815813115904")</f>
        <v/>
      </c>
      <c r="B2292" s="2" t="n">
        <v>43217.7187037037</v>
      </c>
      <c r="C2292" t="n">
        <v>0</v>
      </c>
      <c r="D2292" t="n">
        <v>162</v>
      </c>
      <c r="E2292" t="s">
        <v>2299</v>
      </c>
      <c r="F2292">
        <f>HYPERLINK("https://video.twimg.com/amplify_video/989893056278224897/vid/1280x720/N22-bFcm2WgppE--.mp4?tag=2", "https://video.twimg.com/amplify_video/989893056278224897/vid/1280x720/N22-bFcm2WgppE--.mp4?tag=2")</f>
        <v/>
      </c>
      <c r="G2292" t="s"/>
      <c r="H2292" t="s"/>
      <c r="I2292" t="s"/>
      <c r="J2292" t="n">
        <v>0</v>
      </c>
      <c r="K2292" t="n">
        <v>0</v>
      </c>
      <c r="L2292" t="n">
        <v>1</v>
      </c>
      <c r="M2292" t="n">
        <v>0</v>
      </c>
    </row>
    <row r="2293" spans="1:13">
      <c r="A2293" s="1">
        <f>HYPERLINK("http://www.twitter.com/NathanBLawrence/status/989915118862458880", "989915118862458880")</f>
        <v/>
      </c>
      <c r="B2293" s="2" t="n">
        <v>43217.71678240741</v>
      </c>
      <c r="C2293" t="n">
        <v>0</v>
      </c>
      <c r="D2293" t="n">
        <v>5355</v>
      </c>
      <c r="E2293" t="s">
        <v>2300</v>
      </c>
      <c r="F2293" t="s"/>
      <c r="G2293" t="s"/>
      <c r="H2293" t="s"/>
      <c r="I2293" t="s"/>
      <c r="J2293" t="n">
        <v>0.4382</v>
      </c>
      <c r="K2293" t="n">
        <v>0</v>
      </c>
      <c r="L2293" t="n">
        <v>0.837</v>
      </c>
      <c r="M2293" t="n">
        <v>0.163</v>
      </c>
    </row>
    <row r="2294" spans="1:13">
      <c r="A2294" s="1">
        <f>HYPERLINK("http://www.twitter.com/NathanBLawrence/status/989915031994183680", "989915031994183680")</f>
        <v/>
      </c>
      <c r="B2294" s="2" t="n">
        <v>43217.71655092593</v>
      </c>
      <c r="C2294" t="n">
        <v>0</v>
      </c>
      <c r="D2294" t="n">
        <v>106</v>
      </c>
      <c r="E2294" t="s">
        <v>2301</v>
      </c>
      <c r="F2294">
        <f>HYPERLINK("http://pbs.twimg.com/media/DbzXm-2WsAIGDpI.jpg", "http://pbs.twimg.com/media/DbzXm-2WsAIGDpI.jpg")</f>
        <v/>
      </c>
      <c r="G2294" t="s"/>
      <c r="H2294" t="s"/>
      <c r="I2294" t="s"/>
      <c r="J2294" t="n">
        <v>0.7783</v>
      </c>
      <c r="K2294" t="n">
        <v>0</v>
      </c>
      <c r="L2294" t="n">
        <v>0.657</v>
      </c>
      <c r="M2294" t="n">
        <v>0.343</v>
      </c>
    </row>
    <row r="2295" spans="1:13">
      <c r="A2295" s="1">
        <f>HYPERLINK("http://www.twitter.com/NathanBLawrence/status/989914987907895296", "989914987907895296")</f>
        <v/>
      </c>
      <c r="B2295" s="2" t="n">
        <v>43217.71642361111</v>
      </c>
      <c r="C2295" t="n">
        <v>0</v>
      </c>
      <c r="D2295" t="n">
        <v>4831</v>
      </c>
      <c r="E2295" t="s">
        <v>2302</v>
      </c>
      <c r="F2295" t="s"/>
      <c r="G2295" t="s"/>
      <c r="H2295" t="s"/>
      <c r="I2295" t="s"/>
      <c r="J2295" t="n">
        <v>0.0516</v>
      </c>
      <c r="K2295" t="n">
        <v>0.1</v>
      </c>
      <c r="L2295" t="n">
        <v>0.792</v>
      </c>
      <c r="M2295" t="n">
        <v>0.108</v>
      </c>
    </row>
    <row r="2296" spans="1:13">
      <c r="A2296" s="1">
        <f>HYPERLINK("http://www.twitter.com/NathanBLawrence/status/989914779123793920", "989914779123793920")</f>
        <v/>
      </c>
      <c r="B2296" s="2" t="n">
        <v>43217.7158449074</v>
      </c>
      <c r="C2296" t="n">
        <v>0</v>
      </c>
      <c r="D2296" t="n">
        <v>1851</v>
      </c>
      <c r="E2296" t="s">
        <v>2303</v>
      </c>
      <c r="F2296">
        <f>HYPERLINK("http://pbs.twimg.com/media/DbzXRJiX4AA5VYg.jpg", "http://pbs.twimg.com/media/DbzXRJiX4AA5VYg.jpg")</f>
        <v/>
      </c>
      <c r="G2296" t="s"/>
      <c r="H2296" t="s"/>
      <c r="I2296" t="s"/>
      <c r="J2296" t="n">
        <v>-0.6705</v>
      </c>
      <c r="K2296" t="n">
        <v>0.234</v>
      </c>
      <c r="L2296" t="n">
        <v>0.766</v>
      </c>
      <c r="M2296" t="n">
        <v>0</v>
      </c>
    </row>
    <row r="2297" spans="1:13">
      <c r="A2297" s="1">
        <f>HYPERLINK("http://www.twitter.com/NathanBLawrence/status/989914641101799424", "989914641101799424")</f>
        <v/>
      </c>
      <c r="B2297" s="2" t="n">
        <v>43217.71546296297</v>
      </c>
      <c r="C2297" t="n">
        <v>1</v>
      </c>
      <c r="D2297" t="n">
        <v>1</v>
      </c>
      <c r="E2297" t="s">
        <v>2304</v>
      </c>
      <c r="F2297" t="s"/>
      <c r="G2297" t="s"/>
      <c r="H2297" t="s"/>
      <c r="I2297" t="s"/>
      <c r="J2297" t="n">
        <v>-0.126</v>
      </c>
      <c r="K2297" t="n">
        <v>0.238</v>
      </c>
      <c r="L2297" t="n">
        <v>0.572</v>
      </c>
      <c r="M2297" t="n">
        <v>0.191</v>
      </c>
    </row>
    <row r="2298" spans="1:13">
      <c r="A2298" s="1">
        <f>HYPERLINK("http://www.twitter.com/NathanBLawrence/status/989913446912151552", "989913446912151552")</f>
        <v/>
      </c>
      <c r="B2298" s="2" t="n">
        <v>43217.71217592592</v>
      </c>
      <c r="C2298" t="n">
        <v>0</v>
      </c>
      <c r="D2298" t="n">
        <v>1110</v>
      </c>
      <c r="E2298" t="s">
        <v>2305</v>
      </c>
      <c r="F2298">
        <f>HYPERLINK("http://pbs.twimg.com/media/DbzWP4dXUAAj9I3.jpg", "http://pbs.twimg.com/media/DbzWP4dXUAAj9I3.jpg")</f>
        <v/>
      </c>
      <c r="G2298" t="s"/>
      <c r="H2298" t="s"/>
      <c r="I2298" t="s"/>
      <c r="J2298" t="n">
        <v>-0.25</v>
      </c>
      <c r="K2298" t="n">
        <v>0.1</v>
      </c>
      <c r="L2298" t="n">
        <v>0.9</v>
      </c>
      <c r="M2298" t="n">
        <v>0</v>
      </c>
    </row>
    <row r="2299" spans="1:13">
      <c r="A2299" s="1">
        <f>HYPERLINK("http://www.twitter.com/NathanBLawrence/status/989913400099590144", "989913400099590144")</f>
        <v/>
      </c>
      <c r="B2299" s="2" t="n">
        <v>43217.71203703704</v>
      </c>
      <c r="C2299" t="n">
        <v>0</v>
      </c>
      <c r="D2299" t="n">
        <v>475</v>
      </c>
      <c r="E2299" t="s">
        <v>2306</v>
      </c>
      <c r="F2299">
        <f>HYPERLINK("http://pbs.twimg.com/media/DbzSfPSXUAM_UEm.jpg", "http://pbs.twimg.com/media/DbzSfPSXUAM_UEm.jpg")</f>
        <v/>
      </c>
      <c r="G2299" t="s"/>
      <c r="H2299" t="s"/>
      <c r="I2299" t="s"/>
      <c r="J2299" t="n">
        <v>0</v>
      </c>
      <c r="K2299" t="n">
        <v>0</v>
      </c>
      <c r="L2299" t="n">
        <v>1</v>
      </c>
      <c r="M2299" t="n">
        <v>0</v>
      </c>
    </row>
    <row r="2300" spans="1:13">
      <c r="A2300" s="1">
        <f>HYPERLINK("http://www.twitter.com/NathanBLawrence/status/989913292322717696", "989913292322717696")</f>
        <v/>
      </c>
      <c r="B2300" s="2" t="n">
        <v>43217.71174768519</v>
      </c>
      <c r="C2300" t="n">
        <v>0</v>
      </c>
      <c r="D2300" t="n">
        <v>65</v>
      </c>
      <c r="E2300" t="s">
        <v>2307</v>
      </c>
      <c r="F2300" t="s"/>
      <c r="G2300" t="s"/>
      <c r="H2300" t="s"/>
      <c r="I2300" t="s"/>
      <c r="J2300" t="n">
        <v>-0.4019</v>
      </c>
      <c r="K2300" t="n">
        <v>0.114</v>
      </c>
      <c r="L2300" t="n">
        <v>0.886</v>
      </c>
      <c r="M2300" t="n">
        <v>0</v>
      </c>
    </row>
    <row r="2301" spans="1:13">
      <c r="A2301" s="1">
        <f>HYPERLINK("http://www.twitter.com/NathanBLawrence/status/989913201205694466", "989913201205694466")</f>
        <v/>
      </c>
      <c r="B2301" s="2" t="n">
        <v>43217.71149305555</v>
      </c>
      <c r="C2301" t="n">
        <v>0</v>
      </c>
      <c r="D2301" t="n">
        <v>1553</v>
      </c>
      <c r="E2301" t="s">
        <v>2308</v>
      </c>
      <c r="F2301" t="s"/>
      <c r="G2301" t="s"/>
      <c r="H2301" t="s"/>
      <c r="I2301" t="s"/>
      <c r="J2301" t="n">
        <v>0</v>
      </c>
      <c r="K2301" t="n">
        <v>0</v>
      </c>
      <c r="L2301" t="n">
        <v>1</v>
      </c>
      <c r="M2301" t="n">
        <v>0</v>
      </c>
    </row>
    <row r="2302" spans="1:13">
      <c r="A2302" s="1">
        <f>HYPERLINK("http://www.twitter.com/NathanBLawrence/status/989912988327985152", "989912988327985152")</f>
        <v/>
      </c>
      <c r="B2302" s="2" t="n">
        <v>43217.71090277778</v>
      </c>
      <c r="C2302" t="n">
        <v>0</v>
      </c>
      <c r="D2302" t="n">
        <v>1013</v>
      </c>
      <c r="E2302" t="s">
        <v>2309</v>
      </c>
      <c r="F2302">
        <f>HYPERLINK("http://pbs.twimg.com/media/DbzXTFcU8AU6IWl.jpg", "http://pbs.twimg.com/media/DbzXTFcU8AU6IWl.jpg")</f>
        <v/>
      </c>
      <c r="G2302" t="s"/>
      <c r="H2302" t="s"/>
      <c r="I2302" t="s"/>
      <c r="J2302" t="n">
        <v>0.8807</v>
      </c>
      <c r="K2302" t="n">
        <v>0.047</v>
      </c>
      <c r="L2302" t="n">
        <v>0.61</v>
      </c>
      <c r="M2302" t="n">
        <v>0.343</v>
      </c>
    </row>
    <row r="2303" spans="1:13">
      <c r="A2303" s="1">
        <f>HYPERLINK("http://www.twitter.com/NathanBLawrence/status/989912838427656192", "989912838427656192")</f>
        <v/>
      </c>
      <c r="B2303" s="2" t="n">
        <v>43217.71049768518</v>
      </c>
      <c r="C2303" t="n">
        <v>0</v>
      </c>
      <c r="D2303" t="n">
        <v>359</v>
      </c>
      <c r="E2303" t="s">
        <v>2310</v>
      </c>
      <c r="F2303" t="s"/>
      <c r="G2303" t="s"/>
      <c r="H2303" t="s"/>
      <c r="I2303" t="s"/>
      <c r="J2303" t="n">
        <v>0.34</v>
      </c>
      <c r="K2303" t="n">
        <v>0.089</v>
      </c>
      <c r="L2303" t="n">
        <v>0.766</v>
      </c>
      <c r="M2303" t="n">
        <v>0.145</v>
      </c>
    </row>
    <row r="2304" spans="1:13">
      <c r="A2304" s="1">
        <f>HYPERLINK("http://www.twitter.com/NathanBLawrence/status/989912725898776578", "989912725898776578")</f>
        <v/>
      </c>
      <c r="B2304" s="2" t="n">
        <v>43217.71018518518</v>
      </c>
      <c r="C2304" t="n">
        <v>0</v>
      </c>
      <c r="D2304" t="n">
        <v>577</v>
      </c>
      <c r="E2304" t="s">
        <v>2311</v>
      </c>
      <c r="F2304" t="s"/>
      <c r="G2304" t="s"/>
      <c r="H2304" t="s"/>
      <c r="I2304" t="s"/>
      <c r="J2304" t="n">
        <v>-0.296</v>
      </c>
      <c r="K2304" t="n">
        <v>0.104</v>
      </c>
      <c r="L2304" t="n">
        <v>0.896</v>
      </c>
      <c r="M2304" t="n">
        <v>0</v>
      </c>
    </row>
    <row r="2305" spans="1:13">
      <c r="A2305" s="1">
        <f>HYPERLINK("http://www.twitter.com/NathanBLawrence/status/989912585322483712", "989912585322483712")</f>
        <v/>
      </c>
      <c r="B2305" s="2" t="n">
        <v>43217.70979166667</v>
      </c>
      <c r="C2305" t="n">
        <v>0</v>
      </c>
      <c r="D2305" t="n">
        <v>1</v>
      </c>
      <c r="E2305" t="s">
        <v>2312</v>
      </c>
      <c r="F2305" t="s"/>
      <c r="G2305" t="s"/>
      <c r="H2305" t="s"/>
      <c r="I2305" t="s"/>
      <c r="J2305" t="n">
        <v>-0.4588</v>
      </c>
      <c r="K2305" t="n">
        <v>0.22</v>
      </c>
      <c r="L2305" t="n">
        <v>0.68</v>
      </c>
      <c r="M2305" t="n">
        <v>0.1</v>
      </c>
    </row>
    <row r="2306" spans="1:13">
      <c r="A2306" s="1">
        <f>HYPERLINK("http://www.twitter.com/NathanBLawrence/status/989912537130065926", "989912537130065926")</f>
        <v/>
      </c>
      <c r="B2306" s="2" t="n">
        <v>43217.70966435185</v>
      </c>
      <c r="C2306" t="n">
        <v>1</v>
      </c>
      <c r="D2306" t="n">
        <v>1</v>
      </c>
      <c r="E2306" t="s">
        <v>2313</v>
      </c>
      <c r="F2306" t="s"/>
      <c r="G2306" t="s"/>
      <c r="H2306" t="s"/>
      <c r="I2306" t="s"/>
      <c r="J2306" t="n">
        <v>-0.7345</v>
      </c>
      <c r="K2306" t="n">
        <v>0.332</v>
      </c>
      <c r="L2306" t="n">
        <v>0.573</v>
      </c>
      <c r="M2306" t="n">
        <v>0.095</v>
      </c>
    </row>
    <row r="2307" spans="1:13">
      <c r="A2307" s="1">
        <f>HYPERLINK("http://www.twitter.com/NathanBLawrence/status/989910706211319808", "989910706211319808")</f>
        <v/>
      </c>
      <c r="B2307" s="2" t="n">
        <v>43217.70460648148</v>
      </c>
      <c r="C2307" t="n">
        <v>0</v>
      </c>
      <c r="D2307" t="n">
        <v>284</v>
      </c>
      <c r="E2307" t="s">
        <v>2314</v>
      </c>
      <c r="F2307" t="s"/>
      <c r="G2307" t="s"/>
      <c r="H2307" t="s"/>
      <c r="I2307" t="s"/>
      <c r="J2307" t="n">
        <v>0</v>
      </c>
      <c r="K2307" t="n">
        <v>0</v>
      </c>
      <c r="L2307" t="n">
        <v>1</v>
      </c>
      <c r="M2307" t="n">
        <v>0</v>
      </c>
    </row>
    <row r="2308" spans="1:13">
      <c r="A2308" s="1">
        <f>HYPERLINK("http://www.twitter.com/NathanBLawrence/status/989910527697502208", "989910527697502208")</f>
        <v/>
      </c>
      <c r="B2308" s="2" t="n">
        <v>43217.70412037037</v>
      </c>
      <c r="C2308" t="n">
        <v>1</v>
      </c>
      <c r="D2308" t="n">
        <v>1</v>
      </c>
      <c r="E2308" t="s">
        <v>2315</v>
      </c>
      <c r="F2308" t="s"/>
      <c r="G2308" t="s"/>
      <c r="H2308" t="s"/>
      <c r="I2308" t="s"/>
      <c r="J2308" t="n">
        <v>0</v>
      </c>
      <c r="K2308" t="n">
        <v>0</v>
      </c>
      <c r="L2308" t="n">
        <v>1</v>
      </c>
      <c r="M2308" t="n">
        <v>0</v>
      </c>
    </row>
    <row r="2309" spans="1:13">
      <c r="A2309" s="1">
        <f>HYPERLINK("http://www.twitter.com/NathanBLawrence/status/989909932152520707", "989909932152520707")</f>
        <v/>
      </c>
      <c r="B2309" s="2" t="n">
        <v>43217.70247685185</v>
      </c>
      <c r="C2309" t="n">
        <v>1</v>
      </c>
      <c r="D2309" t="n">
        <v>0</v>
      </c>
      <c r="E2309" t="s">
        <v>2316</v>
      </c>
      <c r="F2309">
        <f>HYPERLINK("http://pbs.twimg.com/media/DbzdUlMUwAA8Wii.jpg", "http://pbs.twimg.com/media/DbzdUlMUwAA8Wii.jpg")</f>
        <v/>
      </c>
      <c r="G2309" t="s"/>
      <c r="H2309" t="s"/>
      <c r="I2309" t="s"/>
      <c r="J2309" t="n">
        <v>0.6696</v>
      </c>
      <c r="K2309" t="n">
        <v>0.082</v>
      </c>
      <c r="L2309" t="n">
        <v>0.71</v>
      </c>
      <c r="M2309" t="n">
        <v>0.208</v>
      </c>
    </row>
    <row r="2310" spans="1:13">
      <c r="A2310" s="1">
        <f>HYPERLINK("http://www.twitter.com/NathanBLawrence/status/989908349020917762", "989908349020917762")</f>
        <v/>
      </c>
      <c r="B2310" s="2" t="n">
        <v>43217.69810185185</v>
      </c>
      <c r="C2310" t="n">
        <v>0</v>
      </c>
      <c r="D2310" t="n">
        <v>0</v>
      </c>
      <c r="E2310" t="s">
        <v>2317</v>
      </c>
      <c r="F2310">
        <f>HYPERLINK("http://pbs.twimg.com/media/DbzbHfyV0AArctx.jpg", "http://pbs.twimg.com/media/DbzbHfyV0AArctx.jpg")</f>
        <v/>
      </c>
      <c r="G2310" t="s"/>
      <c r="H2310" t="s"/>
      <c r="I2310" t="s"/>
      <c r="J2310" t="n">
        <v>0.3595</v>
      </c>
      <c r="K2310" t="n">
        <v>0.141</v>
      </c>
      <c r="L2310" t="n">
        <v>0.664</v>
      </c>
      <c r="M2310" t="n">
        <v>0.195</v>
      </c>
    </row>
    <row r="2311" spans="1:13">
      <c r="A2311" s="1">
        <f>HYPERLINK("http://www.twitter.com/NathanBLawrence/status/989906732573863936", "989906732573863936")</f>
        <v/>
      </c>
      <c r="B2311" s="2" t="n">
        <v>43217.69364583334</v>
      </c>
      <c r="C2311" t="n">
        <v>0</v>
      </c>
      <c r="D2311" t="n">
        <v>6</v>
      </c>
      <c r="E2311" t="s">
        <v>2318</v>
      </c>
      <c r="F2311" t="s"/>
      <c r="G2311" t="s"/>
      <c r="H2311" t="s"/>
      <c r="I2311" t="s"/>
      <c r="J2311" t="n">
        <v>0.4754</v>
      </c>
      <c r="K2311" t="n">
        <v>0</v>
      </c>
      <c r="L2311" t="n">
        <v>0.866</v>
      </c>
      <c r="M2311" t="n">
        <v>0.134</v>
      </c>
    </row>
    <row r="2312" spans="1:13">
      <c r="A2312" s="1">
        <f>HYPERLINK("http://www.twitter.com/NathanBLawrence/status/989906137414709248", "989906137414709248")</f>
        <v/>
      </c>
      <c r="B2312" s="2" t="n">
        <v>43217.69200231481</v>
      </c>
      <c r="C2312" t="n">
        <v>3</v>
      </c>
      <c r="D2312" t="n">
        <v>3</v>
      </c>
      <c r="E2312" t="s">
        <v>2319</v>
      </c>
      <c r="F2312" t="s"/>
      <c r="G2312" t="s"/>
      <c r="H2312" t="s"/>
      <c r="I2312" t="s"/>
      <c r="J2312" t="n">
        <v>-0.8482</v>
      </c>
      <c r="K2312" t="n">
        <v>0.281</v>
      </c>
      <c r="L2312" t="n">
        <v>0.588</v>
      </c>
      <c r="M2312" t="n">
        <v>0.131</v>
      </c>
    </row>
    <row r="2313" spans="1:13">
      <c r="A2313" s="1">
        <f>HYPERLINK("http://www.twitter.com/NathanBLawrence/status/989904406249287680", "989904406249287680")</f>
        <v/>
      </c>
      <c r="B2313" s="2" t="n">
        <v>43217.68722222222</v>
      </c>
      <c r="C2313" t="n">
        <v>0</v>
      </c>
      <c r="D2313" t="n">
        <v>3674</v>
      </c>
      <c r="E2313" t="s">
        <v>2320</v>
      </c>
      <c r="F2313" t="s"/>
      <c r="G2313" t="s"/>
      <c r="H2313" t="s"/>
      <c r="I2313" t="s"/>
      <c r="J2313" t="n">
        <v>-0.3182</v>
      </c>
      <c r="K2313" t="n">
        <v>0.15</v>
      </c>
      <c r="L2313" t="n">
        <v>0.85</v>
      </c>
      <c r="M2313" t="n">
        <v>0</v>
      </c>
    </row>
    <row r="2314" spans="1:13">
      <c r="A2314" s="1">
        <f>HYPERLINK("http://www.twitter.com/NathanBLawrence/status/989904169849909248", "989904169849909248")</f>
        <v/>
      </c>
      <c r="B2314" s="2" t="n">
        <v>43217.68657407408</v>
      </c>
      <c r="C2314" t="n">
        <v>0</v>
      </c>
      <c r="D2314" t="n">
        <v>8438</v>
      </c>
      <c r="E2314" t="s">
        <v>2321</v>
      </c>
      <c r="F2314" t="s"/>
      <c r="G2314" t="s"/>
      <c r="H2314" t="s"/>
      <c r="I2314" t="s"/>
      <c r="J2314" t="n">
        <v>0.0431</v>
      </c>
      <c r="K2314" t="n">
        <v>0.209</v>
      </c>
      <c r="L2314" t="n">
        <v>0.57</v>
      </c>
      <c r="M2314" t="n">
        <v>0.221</v>
      </c>
    </row>
    <row r="2315" spans="1:13">
      <c r="A2315" s="1">
        <f>HYPERLINK("http://www.twitter.com/NathanBLawrence/status/989904063570460672", "989904063570460672")</f>
        <v/>
      </c>
      <c r="B2315" s="2" t="n">
        <v>43217.68627314815</v>
      </c>
      <c r="C2315" t="n">
        <v>0</v>
      </c>
      <c r="D2315" t="n">
        <v>6785</v>
      </c>
      <c r="E2315" t="s">
        <v>2322</v>
      </c>
      <c r="F2315" t="s"/>
      <c r="G2315" t="s"/>
      <c r="H2315" t="s"/>
      <c r="I2315" t="s"/>
      <c r="J2315" t="n">
        <v>0.5487</v>
      </c>
      <c r="K2315" t="n">
        <v>0</v>
      </c>
      <c r="L2315" t="n">
        <v>0.798</v>
      </c>
      <c r="M2315" t="n">
        <v>0.202</v>
      </c>
    </row>
    <row r="2316" spans="1:13">
      <c r="A2316" s="1">
        <f>HYPERLINK("http://www.twitter.com/NathanBLawrence/status/989902999500685313", "989902999500685313")</f>
        <v/>
      </c>
      <c r="B2316" s="2" t="n">
        <v>43217.6833449074</v>
      </c>
      <c r="C2316" t="n">
        <v>1</v>
      </c>
      <c r="D2316" t="n">
        <v>1</v>
      </c>
      <c r="E2316" t="s">
        <v>2323</v>
      </c>
      <c r="F2316">
        <f>HYPERLINK("http://pbs.twimg.com/media/DbzT-7UUQAATUiW.jpg", "http://pbs.twimg.com/media/DbzT-7UUQAATUiW.jpg")</f>
        <v/>
      </c>
      <c r="G2316" t="s"/>
      <c r="H2316" t="s"/>
      <c r="I2316" t="s"/>
      <c r="J2316" t="n">
        <v>-0.784</v>
      </c>
      <c r="K2316" t="n">
        <v>0.157</v>
      </c>
      <c r="L2316" t="n">
        <v>0.843</v>
      </c>
      <c r="M2316" t="n">
        <v>0</v>
      </c>
    </row>
    <row r="2317" spans="1:13">
      <c r="A2317" s="1">
        <f>HYPERLINK("http://www.twitter.com/NathanBLawrence/status/989750304127176707", "989750304127176707")</f>
        <v/>
      </c>
      <c r="B2317" s="2" t="n">
        <v>43217.26197916667</v>
      </c>
      <c r="C2317" t="n">
        <v>1</v>
      </c>
      <c r="D2317" t="n">
        <v>0</v>
      </c>
      <c r="E2317" t="s">
        <v>2324</v>
      </c>
      <c r="F2317">
        <f>HYPERLINK("http://pbs.twimg.com/media/DbxL-rjVQAAXWM8.jpg", "http://pbs.twimg.com/media/DbxL-rjVQAAXWM8.jpg")</f>
        <v/>
      </c>
      <c r="G2317" t="s"/>
      <c r="H2317" t="s"/>
      <c r="I2317" t="s"/>
      <c r="J2317" t="n">
        <v>-0.7579</v>
      </c>
      <c r="K2317" t="n">
        <v>0.371</v>
      </c>
      <c r="L2317" t="n">
        <v>0.629</v>
      </c>
      <c r="M2317" t="n">
        <v>0</v>
      </c>
    </row>
    <row r="2318" spans="1:13">
      <c r="A2318" s="1">
        <f>HYPERLINK("http://www.twitter.com/NathanBLawrence/status/989749279001526272", "989749279001526272")</f>
        <v/>
      </c>
      <c r="B2318" s="2" t="n">
        <v>43217.25915509259</v>
      </c>
      <c r="C2318" t="n">
        <v>0</v>
      </c>
      <c r="D2318" t="n">
        <v>112</v>
      </c>
      <c r="E2318" t="s">
        <v>2325</v>
      </c>
      <c r="F2318">
        <f>HYPERLINK("http://pbs.twimg.com/media/Dbv57qfXUAAB3RJ.jpg", "http://pbs.twimg.com/media/Dbv57qfXUAAB3RJ.jpg")</f>
        <v/>
      </c>
      <c r="G2318" t="s"/>
      <c r="H2318" t="s"/>
      <c r="I2318" t="s"/>
      <c r="J2318" t="n">
        <v>0</v>
      </c>
      <c r="K2318" t="n">
        <v>0</v>
      </c>
      <c r="L2318" t="n">
        <v>1</v>
      </c>
      <c r="M2318" t="n">
        <v>0</v>
      </c>
    </row>
    <row r="2319" spans="1:13">
      <c r="A2319" s="1">
        <f>HYPERLINK("http://www.twitter.com/NathanBLawrence/status/989747129139671042", "989747129139671042")</f>
        <v/>
      </c>
      <c r="B2319" s="2" t="n">
        <v>43217.2532175926</v>
      </c>
      <c r="C2319" t="n">
        <v>1</v>
      </c>
      <c r="D2319" t="n">
        <v>0</v>
      </c>
      <c r="E2319" t="s">
        <v>2326</v>
      </c>
      <c r="F2319" t="s"/>
      <c r="G2319" t="s"/>
      <c r="H2319" t="s"/>
      <c r="I2319" t="s"/>
      <c r="J2319" t="n">
        <v>-0.516</v>
      </c>
      <c r="K2319" t="n">
        <v>0.221</v>
      </c>
      <c r="L2319" t="n">
        <v>0.659</v>
      </c>
      <c r="M2319" t="n">
        <v>0.121</v>
      </c>
    </row>
    <row r="2320" spans="1:13">
      <c r="A2320" s="1">
        <f>HYPERLINK("http://www.twitter.com/NathanBLawrence/status/989745347122479104", "989745347122479104")</f>
        <v/>
      </c>
      <c r="B2320" s="2" t="n">
        <v>43217.24829861111</v>
      </c>
      <c r="C2320" t="n">
        <v>0</v>
      </c>
      <c r="D2320" t="n">
        <v>176</v>
      </c>
      <c r="E2320" t="s">
        <v>2314</v>
      </c>
      <c r="F2320" t="s"/>
      <c r="G2320" t="s"/>
      <c r="H2320" t="s"/>
      <c r="I2320" t="s"/>
      <c r="J2320" t="n">
        <v>0</v>
      </c>
      <c r="K2320" t="n">
        <v>0</v>
      </c>
      <c r="L2320" t="n">
        <v>1</v>
      </c>
      <c r="M2320" t="n">
        <v>0</v>
      </c>
    </row>
    <row r="2321" spans="1:13">
      <c r="A2321" s="1">
        <f>HYPERLINK("http://www.twitter.com/NathanBLawrence/status/989745222639804416", "989745222639804416")</f>
        <v/>
      </c>
      <c r="B2321" s="2" t="n">
        <v>43217.24796296296</v>
      </c>
      <c r="C2321" t="n">
        <v>0</v>
      </c>
      <c r="D2321" t="n">
        <v>395</v>
      </c>
      <c r="E2321" t="s">
        <v>2327</v>
      </c>
      <c r="F2321">
        <f>HYPERLINK("https://video.twimg.com/ext_tw_video/989728030967791624/pu/vid/720x720/-yz9Nm4fkJp4AZHr.mp4?tag=3", "https://video.twimg.com/ext_tw_video/989728030967791624/pu/vid/720x720/-yz9Nm4fkJp4AZHr.mp4?tag=3")</f>
        <v/>
      </c>
      <c r="G2321" t="s"/>
      <c r="H2321" t="s"/>
      <c r="I2321" t="s"/>
      <c r="J2321" t="n">
        <v>0</v>
      </c>
      <c r="K2321" t="n">
        <v>0</v>
      </c>
      <c r="L2321" t="n">
        <v>1</v>
      </c>
      <c r="M2321" t="n">
        <v>0</v>
      </c>
    </row>
    <row r="2322" spans="1:13">
      <c r="A2322" s="1">
        <f>HYPERLINK("http://www.twitter.com/NathanBLawrence/status/989745188867194882", "989745188867194882")</f>
        <v/>
      </c>
      <c r="B2322" s="2" t="n">
        <v>43217.24787037037</v>
      </c>
      <c r="C2322" t="n">
        <v>0</v>
      </c>
      <c r="D2322" t="n">
        <v>38</v>
      </c>
      <c r="E2322" t="s">
        <v>2328</v>
      </c>
      <c r="F2322">
        <f>HYPERLINK("http://pbs.twimg.com/media/DbwtcplU8AEWq-6.jpg", "http://pbs.twimg.com/media/DbwtcplU8AEWq-6.jpg")</f>
        <v/>
      </c>
      <c r="G2322" t="s"/>
      <c r="H2322" t="s"/>
      <c r="I2322" t="s"/>
      <c r="J2322" t="n">
        <v>0.7985</v>
      </c>
      <c r="K2322" t="n">
        <v>0.118</v>
      </c>
      <c r="L2322" t="n">
        <v>0.577</v>
      </c>
      <c r="M2322" t="n">
        <v>0.305</v>
      </c>
    </row>
    <row r="2323" spans="1:13">
      <c r="A2323" s="1">
        <f>HYPERLINK("http://www.twitter.com/NathanBLawrence/status/989744989243502592", "989744989243502592")</f>
        <v/>
      </c>
      <c r="B2323" s="2" t="n">
        <v>43217.24731481481</v>
      </c>
      <c r="C2323" t="n">
        <v>0</v>
      </c>
      <c r="D2323" t="n">
        <v>15</v>
      </c>
      <c r="E2323" t="s">
        <v>2329</v>
      </c>
      <c r="F2323">
        <f>HYPERLINK("http://pbs.twimg.com/media/DbwSpsPVwAAMK8S.jpg", "http://pbs.twimg.com/media/DbwSpsPVwAAMK8S.jpg")</f>
        <v/>
      </c>
      <c r="G2323" t="s"/>
      <c r="H2323" t="s"/>
      <c r="I2323" t="s"/>
      <c r="J2323" t="n">
        <v>0.4019</v>
      </c>
      <c r="K2323" t="n">
        <v>0</v>
      </c>
      <c r="L2323" t="n">
        <v>0.903</v>
      </c>
      <c r="M2323" t="n">
        <v>0.097</v>
      </c>
    </row>
    <row r="2324" spans="1:13">
      <c r="A2324" s="1">
        <f>HYPERLINK("http://www.twitter.com/NathanBLawrence/status/989744863573721088", "989744863573721088")</f>
        <v/>
      </c>
      <c r="B2324" s="2" t="n">
        <v>43217.24696759259</v>
      </c>
      <c r="C2324" t="n">
        <v>0</v>
      </c>
      <c r="D2324" t="n">
        <v>4740</v>
      </c>
      <c r="E2324" t="s">
        <v>2330</v>
      </c>
      <c r="F2324" t="s"/>
      <c r="G2324" t="s"/>
      <c r="H2324" t="s"/>
      <c r="I2324" t="s"/>
      <c r="J2324" t="n">
        <v>0</v>
      </c>
      <c r="K2324" t="n">
        <v>0</v>
      </c>
      <c r="L2324" t="n">
        <v>1</v>
      </c>
      <c r="M2324" t="n">
        <v>0</v>
      </c>
    </row>
    <row r="2325" spans="1:13">
      <c r="A2325" s="1">
        <f>HYPERLINK("http://www.twitter.com/NathanBLawrence/status/989744741431394305", "989744741431394305")</f>
        <v/>
      </c>
      <c r="B2325" s="2" t="n">
        <v>43217.24663194444</v>
      </c>
      <c r="C2325" t="n">
        <v>0</v>
      </c>
      <c r="D2325" t="n">
        <v>4962</v>
      </c>
      <c r="E2325" t="s">
        <v>2331</v>
      </c>
      <c r="F2325" t="s"/>
      <c r="G2325" t="s"/>
      <c r="H2325" t="s"/>
      <c r="I2325" t="s"/>
      <c r="J2325" t="n">
        <v>0.8932</v>
      </c>
      <c r="K2325" t="n">
        <v>0</v>
      </c>
      <c r="L2325" t="n">
        <v>0.5669999999999999</v>
      </c>
      <c r="M2325" t="n">
        <v>0.433</v>
      </c>
    </row>
    <row r="2326" spans="1:13">
      <c r="A2326" s="1">
        <f>HYPERLINK("http://www.twitter.com/NathanBLawrence/status/989743493336580096", "989743493336580096")</f>
        <v/>
      </c>
      <c r="B2326" s="2" t="n">
        <v>43217.24319444445</v>
      </c>
      <c r="C2326" t="n">
        <v>0</v>
      </c>
      <c r="D2326" t="n">
        <v>11</v>
      </c>
      <c r="E2326" t="s">
        <v>2332</v>
      </c>
      <c r="F2326" t="s"/>
      <c r="G2326" t="s"/>
      <c r="H2326" t="s"/>
      <c r="I2326" t="s"/>
      <c r="J2326" t="n">
        <v>0</v>
      </c>
      <c r="K2326" t="n">
        <v>0</v>
      </c>
      <c r="L2326" t="n">
        <v>1</v>
      </c>
      <c r="M2326" t="n">
        <v>0</v>
      </c>
    </row>
    <row r="2327" spans="1:13">
      <c r="A2327" s="1">
        <f>HYPERLINK("http://www.twitter.com/NathanBLawrence/status/989739676079603712", "989739676079603712")</f>
        <v/>
      </c>
      <c r="B2327" s="2" t="n">
        <v>43217.23265046296</v>
      </c>
      <c r="C2327" t="n">
        <v>0</v>
      </c>
      <c r="D2327" t="n">
        <v>301</v>
      </c>
      <c r="E2327" t="s">
        <v>2333</v>
      </c>
      <c r="F2327">
        <f>HYPERLINK("http://pbs.twimg.com/media/Dbv0B2yWkAAdJ5v.jpg", "http://pbs.twimg.com/media/Dbv0B2yWkAAdJ5v.jpg")</f>
        <v/>
      </c>
      <c r="G2327" t="s"/>
      <c r="H2327" t="s"/>
      <c r="I2327" t="s"/>
      <c r="J2327" t="n">
        <v>0</v>
      </c>
      <c r="K2327" t="n">
        <v>0</v>
      </c>
      <c r="L2327" t="n">
        <v>1</v>
      </c>
      <c r="M2327" t="n">
        <v>0</v>
      </c>
    </row>
    <row r="2328" spans="1:13">
      <c r="A2328" s="1">
        <f>HYPERLINK("http://www.twitter.com/NathanBLawrence/status/989739463755554817", "989739463755554817")</f>
        <v/>
      </c>
      <c r="B2328" s="2" t="n">
        <v>43217.23207175926</v>
      </c>
      <c r="C2328" t="n">
        <v>0</v>
      </c>
      <c r="D2328" t="n">
        <v>79</v>
      </c>
      <c r="E2328" t="s">
        <v>2334</v>
      </c>
      <c r="F2328" t="s"/>
      <c r="G2328" t="s"/>
      <c r="H2328" t="s"/>
      <c r="I2328" t="s"/>
      <c r="J2328" t="n">
        <v>-0.5106000000000001</v>
      </c>
      <c r="K2328" t="n">
        <v>0.171</v>
      </c>
      <c r="L2328" t="n">
        <v>0.829</v>
      </c>
      <c r="M2328" t="n">
        <v>0</v>
      </c>
    </row>
    <row r="2329" spans="1:13">
      <c r="A2329" s="1">
        <f>HYPERLINK("http://www.twitter.com/NathanBLawrence/status/989739409980338176", "989739409980338176")</f>
        <v/>
      </c>
      <c r="B2329" s="2" t="n">
        <v>43217.2319212963</v>
      </c>
      <c r="C2329" t="n">
        <v>0</v>
      </c>
      <c r="D2329" t="n">
        <v>1343</v>
      </c>
      <c r="E2329" t="s">
        <v>2335</v>
      </c>
      <c r="F2329">
        <f>HYPERLINK("https://video.twimg.com/ext_tw_video/989656775598190592/pu/vid/1280x720/Ch60p9sh9mBQGX0u.mp4?tag=3", "https://video.twimg.com/ext_tw_video/989656775598190592/pu/vid/1280x720/Ch60p9sh9mBQGX0u.mp4?tag=3")</f>
        <v/>
      </c>
      <c r="G2329" t="s"/>
      <c r="H2329" t="s"/>
      <c r="I2329" t="s"/>
      <c r="J2329" t="n">
        <v>0</v>
      </c>
      <c r="K2329" t="n">
        <v>0</v>
      </c>
      <c r="L2329" t="n">
        <v>1</v>
      </c>
      <c r="M2329" t="n">
        <v>0</v>
      </c>
    </row>
    <row r="2330" spans="1:13">
      <c r="A2330" s="1">
        <f>HYPERLINK("http://www.twitter.com/NathanBLawrence/status/989739208318177280", "989739208318177280")</f>
        <v/>
      </c>
      <c r="B2330" s="2" t="n">
        <v>43217.23136574074</v>
      </c>
      <c r="C2330" t="n">
        <v>0</v>
      </c>
      <c r="D2330" t="n">
        <v>1007</v>
      </c>
      <c r="E2330" t="s">
        <v>2336</v>
      </c>
      <c r="F2330">
        <f>HYPERLINK("https://video.twimg.com/ext_tw_video/989658437566062592/pu/vid/1280x720/2pozDMyQOYqK_AzJ.mp4?tag=3", "https://video.twimg.com/ext_tw_video/989658437566062592/pu/vid/1280x720/2pozDMyQOYqK_AzJ.mp4?tag=3")</f>
        <v/>
      </c>
      <c r="G2330" t="s"/>
      <c r="H2330" t="s"/>
      <c r="I2330" t="s"/>
      <c r="J2330" t="n">
        <v>-0.296</v>
      </c>
      <c r="K2330" t="n">
        <v>0.091</v>
      </c>
      <c r="L2330" t="n">
        <v>0.909</v>
      </c>
      <c r="M2330" t="n">
        <v>0</v>
      </c>
    </row>
    <row r="2331" spans="1:13">
      <c r="A2331" s="1">
        <f>HYPERLINK("http://www.twitter.com/NathanBLawrence/status/989738920853159936", "989738920853159936")</f>
        <v/>
      </c>
      <c r="B2331" s="2" t="n">
        <v>43217.23056712963</v>
      </c>
      <c r="C2331" t="n">
        <v>0</v>
      </c>
      <c r="D2331" t="n">
        <v>756</v>
      </c>
      <c r="E2331" t="s">
        <v>2337</v>
      </c>
      <c r="F2331" t="s"/>
      <c r="G2331" t="s"/>
      <c r="H2331" t="s"/>
      <c r="I2331" t="s"/>
      <c r="J2331" t="n">
        <v>0</v>
      </c>
      <c r="K2331" t="n">
        <v>0</v>
      </c>
      <c r="L2331" t="n">
        <v>1</v>
      </c>
      <c r="M2331" t="n">
        <v>0</v>
      </c>
    </row>
    <row r="2332" spans="1:13">
      <c r="A2332" s="1">
        <f>HYPERLINK("http://www.twitter.com/NathanBLawrence/status/989737550913855488", "989737550913855488")</f>
        <v/>
      </c>
      <c r="B2332" s="2" t="n">
        <v>43217.22679398148</v>
      </c>
      <c r="C2332" t="n">
        <v>0</v>
      </c>
      <c r="D2332" t="n">
        <v>537</v>
      </c>
      <c r="E2332" t="s">
        <v>2338</v>
      </c>
      <c r="F2332" t="s"/>
      <c r="G2332" t="s"/>
      <c r="H2332" t="s"/>
      <c r="I2332" t="s"/>
      <c r="J2332" t="n">
        <v>-0.1779</v>
      </c>
      <c r="K2332" t="n">
        <v>0.102</v>
      </c>
      <c r="L2332" t="n">
        <v>0.898</v>
      </c>
      <c r="M2332" t="n">
        <v>0</v>
      </c>
    </row>
    <row r="2333" spans="1:13">
      <c r="A2333" s="1">
        <f>HYPERLINK("http://www.twitter.com/NathanBLawrence/status/989737471075205120", "989737471075205120")</f>
        <v/>
      </c>
      <c r="B2333" s="2" t="n">
        <v>43217.22657407408</v>
      </c>
      <c r="C2333" t="n">
        <v>0</v>
      </c>
      <c r="D2333" t="n">
        <v>154</v>
      </c>
      <c r="E2333" t="s">
        <v>2339</v>
      </c>
      <c r="F2333" t="s"/>
      <c r="G2333" t="s"/>
      <c r="H2333" t="s"/>
      <c r="I2333" t="s"/>
      <c r="J2333" t="n">
        <v>0.4449</v>
      </c>
      <c r="K2333" t="n">
        <v>0</v>
      </c>
      <c r="L2333" t="n">
        <v>0.827</v>
      </c>
      <c r="M2333" t="n">
        <v>0.173</v>
      </c>
    </row>
    <row r="2334" spans="1:13">
      <c r="A2334" s="1">
        <f>HYPERLINK("http://www.twitter.com/NathanBLawrence/status/989737437210460160", "989737437210460160")</f>
        <v/>
      </c>
      <c r="B2334" s="2" t="n">
        <v>43217.22648148148</v>
      </c>
      <c r="C2334" t="n">
        <v>0</v>
      </c>
      <c r="D2334" t="n">
        <v>188</v>
      </c>
      <c r="E2334" t="s">
        <v>2340</v>
      </c>
      <c r="F2334" t="s"/>
      <c r="G2334" t="s"/>
      <c r="H2334" t="s"/>
      <c r="I2334" t="s"/>
      <c r="J2334" t="n">
        <v>-0.34</v>
      </c>
      <c r="K2334" t="n">
        <v>0.211</v>
      </c>
      <c r="L2334" t="n">
        <v>0.789</v>
      </c>
      <c r="M2334" t="n">
        <v>0</v>
      </c>
    </row>
    <row r="2335" spans="1:13">
      <c r="A2335" s="1">
        <f>HYPERLINK("http://www.twitter.com/NathanBLawrence/status/989735936832421888", "989735936832421888")</f>
        <v/>
      </c>
      <c r="B2335" s="2" t="n">
        <v>43217.22233796296</v>
      </c>
      <c r="C2335" t="n">
        <v>0</v>
      </c>
      <c r="D2335" t="n">
        <v>467</v>
      </c>
      <c r="E2335" t="s">
        <v>2341</v>
      </c>
      <c r="F2335" t="s"/>
      <c r="G2335" t="s"/>
      <c r="H2335" t="s"/>
      <c r="I2335" t="s"/>
      <c r="J2335" t="n">
        <v>0</v>
      </c>
      <c r="K2335" t="n">
        <v>0</v>
      </c>
      <c r="L2335" t="n">
        <v>1</v>
      </c>
      <c r="M2335" t="n">
        <v>0</v>
      </c>
    </row>
    <row r="2336" spans="1:13">
      <c r="A2336" s="1">
        <f>HYPERLINK("http://www.twitter.com/NathanBLawrence/status/989735331128737792", "989735331128737792")</f>
        <v/>
      </c>
      <c r="B2336" s="2" t="n">
        <v>43217.22065972222</v>
      </c>
      <c r="C2336" t="n">
        <v>0</v>
      </c>
      <c r="D2336" t="n">
        <v>985</v>
      </c>
      <c r="E2336" t="s">
        <v>2342</v>
      </c>
      <c r="F2336">
        <f>HYPERLINK("https://video.twimg.com/amplify_video/989676750153101313/vid/1280x720/cUlEhx2Ag9RrtP3d.mp4?tag=2", "https://video.twimg.com/amplify_video/989676750153101313/vid/1280x720/cUlEhx2Ag9RrtP3d.mp4?tag=2")</f>
        <v/>
      </c>
      <c r="G2336" t="s"/>
      <c r="H2336" t="s"/>
      <c r="I2336" t="s"/>
      <c r="J2336" t="n">
        <v>-0.5511</v>
      </c>
      <c r="K2336" t="n">
        <v>0.186</v>
      </c>
      <c r="L2336" t="n">
        <v>0.8139999999999999</v>
      </c>
      <c r="M2336" t="n">
        <v>0</v>
      </c>
    </row>
    <row r="2337" spans="1:13">
      <c r="A2337" s="1">
        <f>HYPERLINK("http://www.twitter.com/NathanBLawrence/status/989735190707617793", "989735190707617793")</f>
        <v/>
      </c>
      <c r="B2337" s="2" t="n">
        <v>43217.22027777778</v>
      </c>
      <c r="C2337" t="n">
        <v>0</v>
      </c>
      <c r="D2337" t="n">
        <v>413</v>
      </c>
      <c r="E2337" t="s">
        <v>2343</v>
      </c>
      <c r="F2337">
        <f>HYPERLINK("https://video.twimg.com/ext_tw_video/989678113884987393/pu/vid/1280x720/6iHAewMVj7axyjiU.mp4?tag=3", "https://video.twimg.com/ext_tw_video/989678113884987393/pu/vid/1280x720/6iHAewMVj7axyjiU.mp4?tag=3")</f>
        <v/>
      </c>
      <c r="G2337" t="s"/>
      <c r="H2337" t="s"/>
      <c r="I2337" t="s"/>
      <c r="J2337" t="n">
        <v>0.4215</v>
      </c>
      <c r="K2337" t="n">
        <v>0</v>
      </c>
      <c r="L2337" t="n">
        <v>0.872</v>
      </c>
      <c r="M2337" t="n">
        <v>0.128</v>
      </c>
    </row>
    <row r="2338" spans="1:13">
      <c r="A2338" s="1">
        <f>HYPERLINK("http://www.twitter.com/NathanBLawrence/status/989734314492411904", "989734314492411904")</f>
        <v/>
      </c>
      <c r="B2338" s="2" t="n">
        <v>43217.2178587963</v>
      </c>
      <c r="C2338" t="n">
        <v>0</v>
      </c>
      <c r="D2338" t="n">
        <v>4069</v>
      </c>
      <c r="E2338" t="s">
        <v>2344</v>
      </c>
      <c r="F2338">
        <f>HYPERLINK("https://video.twimg.com/amplify_video/989683184827863045/vid/1280x720/FKTifUETWDwzJ_Ea.mp4?tag=2", "https://video.twimg.com/amplify_video/989683184827863045/vid/1280x720/FKTifUETWDwzJ_Ea.mp4?tag=2")</f>
        <v/>
      </c>
      <c r="G2338" t="s"/>
      <c r="H2338" t="s"/>
      <c r="I2338" t="s"/>
      <c r="J2338" t="n">
        <v>-0.5994</v>
      </c>
      <c r="K2338" t="n">
        <v>0.157</v>
      </c>
      <c r="L2338" t="n">
        <v>0.843</v>
      </c>
      <c r="M2338" t="n">
        <v>0</v>
      </c>
    </row>
    <row r="2339" spans="1:13">
      <c r="A2339" s="1">
        <f>HYPERLINK("http://www.twitter.com/NathanBLawrence/status/989734186863902723", "989734186863902723")</f>
        <v/>
      </c>
      <c r="B2339" s="2" t="n">
        <v>43217.21751157408</v>
      </c>
      <c r="C2339" t="n">
        <v>0</v>
      </c>
      <c r="D2339" t="n">
        <v>6637</v>
      </c>
      <c r="E2339" t="s">
        <v>2345</v>
      </c>
      <c r="F2339">
        <f>HYPERLINK("https://video.twimg.com/amplify_video/989684557141209088/vid/1280x720/zlX3m2HV2YONunST.mp4?tag=2", "https://video.twimg.com/amplify_video/989684557141209088/vid/1280x720/zlX3m2HV2YONunST.mp4?tag=2")</f>
        <v/>
      </c>
      <c r="G2339" t="s"/>
      <c r="H2339" t="s"/>
      <c r="I2339" t="s"/>
      <c r="J2339" t="n">
        <v>0.4019</v>
      </c>
      <c r="K2339" t="n">
        <v>0</v>
      </c>
      <c r="L2339" t="n">
        <v>0.881</v>
      </c>
      <c r="M2339" t="n">
        <v>0.119</v>
      </c>
    </row>
    <row r="2340" spans="1:13">
      <c r="A2340" s="1">
        <f>HYPERLINK("http://www.twitter.com/NathanBLawrence/status/989733720843206656", "989733720843206656")</f>
        <v/>
      </c>
      <c r="B2340" s="2" t="n">
        <v>43217.21622685185</v>
      </c>
      <c r="C2340" t="n">
        <v>0</v>
      </c>
      <c r="D2340" t="n">
        <v>745</v>
      </c>
      <c r="E2340" t="s">
        <v>2346</v>
      </c>
      <c r="F2340">
        <f>HYPERLINK("http://pbs.twimg.com/media/DbwRsxtXkAA-Ybk.jpg", "http://pbs.twimg.com/media/DbwRsxtXkAA-Ybk.jpg")</f>
        <v/>
      </c>
      <c r="G2340">
        <f>HYPERLINK("http://pbs.twimg.com/media/DbwRsyaW4AAotvd.jpg", "http://pbs.twimg.com/media/DbwRsyaW4AAotvd.jpg")</f>
        <v/>
      </c>
      <c r="H2340">
        <f>HYPERLINK("http://pbs.twimg.com/media/DbwRszdX0AALIuB.jpg", "http://pbs.twimg.com/media/DbwRszdX0AALIuB.jpg")</f>
        <v/>
      </c>
      <c r="I2340">
        <f>HYPERLINK("http://pbs.twimg.com/media/DbwRwjGXcAAcjSR.jpg", "http://pbs.twimg.com/media/DbwRwjGXcAAcjSR.jpg")</f>
        <v/>
      </c>
      <c r="J2340" t="n">
        <v>0.3818</v>
      </c>
      <c r="K2340" t="n">
        <v>0</v>
      </c>
      <c r="L2340" t="n">
        <v>0.89</v>
      </c>
      <c r="M2340" t="n">
        <v>0.11</v>
      </c>
    </row>
    <row r="2341" spans="1:13">
      <c r="A2341" s="1">
        <f>HYPERLINK("http://www.twitter.com/NathanBLawrence/status/989732291776663552", "989732291776663552")</f>
        <v/>
      </c>
      <c r="B2341" s="2" t="n">
        <v>43217.21228009259</v>
      </c>
      <c r="C2341" t="n">
        <v>0</v>
      </c>
      <c r="D2341" t="n">
        <v>0</v>
      </c>
      <c r="E2341" t="s">
        <v>2347</v>
      </c>
      <c r="F2341" t="s"/>
      <c r="G2341" t="s"/>
      <c r="H2341" t="s"/>
      <c r="I2341" t="s"/>
      <c r="J2341" t="n">
        <v>0.7231</v>
      </c>
      <c r="K2341" t="n">
        <v>0.151</v>
      </c>
      <c r="L2341" t="n">
        <v>0.606</v>
      </c>
      <c r="M2341" t="n">
        <v>0.243</v>
      </c>
    </row>
    <row r="2342" spans="1:13">
      <c r="A2342" s="1">
        <f>HYPERLINK("http://www.twitter.com/NathanBLawrence/status/989731884329385984", "989731884329385984")</f>
        <v/>
      </c>
      <c r="B2342" s="2" t="n">
        <v>43217.21115740741</v>
      </c>
      <c r="C2342" t="n">
        <v>0</v>
      </c>
      <c r="D2342" t="n">
        <v>241</v>
      </c>
      <c r="E2342" t="s">
        <v>2348</v>
      </c>
      <c r="F2342">
        <f>HYPERLINK("https://video.twimg.com/amplify_video/989480848436203524/vid/1280x720/PVlZjbBx9VZlC8ax.mp4?tag=2", "https://video.twimg.com/amplify_video/989480848436203524/vid/1280x720/PVlZjbBx9VZlC8ax.mp4?tag=2")</f>
        <v/>
      </c>
      <c r="G2342" t="s"/>
      <c r="H2342" t="s"/>
      <c r="I2342" t="s"/>
      <c r="J2342" t="n">
        <v>0</v>
      </c>
      <c r="K2342" t="n">
        <v>0</v>
      </c>
      <c r="L2342" t="n">
        <v>1</v>
      </c>
      <c r="M2342" t="n">
        <v>0</v>
      </c>
    </row>
    <row r="2343" spans="1:13">
      <c r="A2343" s="1">
        <f>HYPERLINK("http://www.twitter.com/NathanBLawrence/status/989731706243465216", "989731706243465216")</f>
        <v/>
      </c>
      <c r="B2343" s="2" t="n">
        <v>43217.21065972222</v>
      </c>
      <c r="C2343" t="n">
        <v>0</v>
      </c>
      <c r="D2343" t="n">
        <v>247</v>
      </c>
      <c r="E2343" t="s">
        <v>2349</v>
      </c>
      <c r="F2343">
        <f>HYPERLINK("https://video.twimg.com/amplify_video/989531004019855360/vid/1280x720/ARfHQeh7AB8jNE40.mp4?tag=2", "https://video.twimg.com/amplify_video/989531004019855360/vid/1280x720/ARfHQeh7AB8jNE40.mp4?tag=2")</f>
        <v/>
      </c>
      <c r="G2343" t="s"/>
      <c r="H2343" t="s"/>
      <c r="I2343" t="s"/>
      <c r="J2343" t="n">
        <v>-0.3252</v>
      </c>
      <c r="K2343" t="n">
        <v>0.109</v>
      </c>
      <c r="L2343" t="n">
        <v>0.891</v>
      </c>
      <c r="M2343" t="n">
        <v>0</v>
      </c>
    </row>
    <row r="2344" spans="1:13">
      <c r="A2344" s="1">
        <f>HYPERLINK("http://www.twitter.com/NathanBLawrence/status/989729971093487616", "989729971093487616")</f>
        <v/>
      </c>
      <c r="B2344" s="2" t="n">
        <v>43217.20587962963</v>
      </c>
      <c r="C2344" t="n">
        <v>0</v>
      </c>
      <c r="D2344" t="n">
        <v>0</v>
      </c>
      <c r="E2344" t="s">
        <v>2350</v>
      </c>
      <c r="F2344" t="s"/>
      <c r="G2344" t="s"/>
      <c r="H2344" t="s"/>
      <c r="I2344" t="s"/>
      <c r="J2344" t="n">
        <v>-0.8519</v>
      </c>
      <c r="K2344" t="n">
        <v>0.236</v>
      </c>
      <c r="L2344" t="n">
        <v>0.681</v>
      </c>
      <c r="M2344" t="n">
        <v>0.083</v>
      </c>
    </row>
    <row r="2345" spans="1:13">
      <c r="A2345" s="1">
        <f>HYPERLINK("http://www.twitter.com/NathanBLawrence/status/989729794303537152", "989729794303537152")</f>
        <v/>
      </c>
      <c r="B2345" s="2" t="n">
        <v>43217.20538194444</v>
      </c>
      <c r="C2345" t="n">
        <v>1</v>
      </c>
      <c r="D2345" t="n">
        <v>1</v>
      </c>
      <c r="E2345" t="s">
        <v>2351</v>
      </c>
      <c r="F2345" t="s"/>
      <c r="G2345" t="s"/>
      <c r="H2345" t="s"/>
      <c r="I2345" t="s"/>
      <c r="J2345" t="n">
        <v>-0.8519</v>
      </c>
      <c r="K2345" t="n">
        <v>0.227</v>
      </c>
      <c r="L2345" t="n">
        <v>0.6929999999999999</v>
      </c>
      <c r="M2345" t="n">
        <v>0.08</v>
      </c>
    </row>
    <row r="2346" spans="1:13">
      <c r="A2346" s="1">
        <f>HYPERLINK("http://www.twitter.com/NathanBLawrence/status/989729612002279424", "989729612002279424")</f>
        <v/>
      </c>
      <c r="B2346" s="2" t="n">
        <v>43217.20488425926</v>
      </c>
      <c r="C2346" t="n">
        <v>2</v>
      </c>
      <c r="D2346" t="n">
        <v>0</v>
      </c>
      <c r="E2346" t="s">
        <v>2352</v>
      </c>
      <c r="F2346" t="s"/>
      <c r="G2346" t="s"/>
      <c r="H2346" t="s"/>
      <c r="I2346" t="s"/>
      <c r="J2346" t="n">
        <v>0.7231</v>
      </c>
      <c r="K2346" t="n">
        <v>0.154</v>
      </c>
      <c r="L2346" t="n">
        <v>0.6</v>
      </c>
      <c r="M2346" t="n">
        <v>0.247</v>
      </c>
    </row>
    <row r="2347" spans="1:13">
      <c r="A2347" s="1">
        <f>HYPERLINK("http://www.twitter.com/NathanBLawrence/status/989726873935536129", "989726873935536129")</f>
        <v/>
      </c>
      <c r="B2347" s="2" t="n">
        <v>43217.19732638889</v>
      </c>
      <c r="C2347" t="n">
        <v>0</v>
      </c>
      <c r="D2347" t="n">
        <v>989</v>
      </c>
      <c r="E2347" t="s">
        <v>2353</v>
      </c>
      <c r="F2347" t="s"/>
      <c r="G2347" t="s"/>
      <c r="H2347" t="s"/>
      <c r="I2347" t="s"/>
      <c r="J2347" t="n">
        <v>0.25</v>
      </c>
      <c r="K2347" t="n">
        <v>0.159</v>
      </c>
      <c r="L2347" t="n">
        <v>0.606</v>
      </c>
      <c r="M2347" t="n">
        <v>0.235</v>
      </c>
    </row>
    <row r="2348" spans="1:13">
      <c r="A2348" s="1">
        <f>HYPERLINK("http://www.twitter.com/NathanBLawrence/status/989726762941665280", "989726762941665280")</f>
        <v/>
      </c>
      <c r="B2348" s="2" t="n">
        <v>43217.19702546296</v>
      </c>
      <c r="C2348" t="n">
        <v>0</v>
      </c>
      <c r="D2348" t="n">
        <v>12517</v>
      </c>
      <c r="E2348" t="s">
        <v>2354</v>
      </c>
      <c r="F2348" t="s"/>
      <c r="G2348" t="s"/>
      <c r="H2348" t="s"/>
      <c r="I2348" t="s"/>
      <c r="J2348" t="n">
        <v>0.4767</v>
      </c>
      <c r="K2348" t="n">
        <v>0</v>
      </c>
      <c r="L2348" t="n">
        <v>0.866</v>
      </c>
      <c r="M2348" t="n">
        <v>0.134</v>
      </c>
    </row>
    <row r="2349" spans="1:13">
      <c r="A2349" s="1">
        <f>HYPERLINK("http://www.twitter.com/NathanBLawrence/status/989726669442138112", "989726669442138112")</f>
        <v/>
      </c>
      <c r="B2349" s="2" t="n">
        <v>43217.19675925926</v>
      </c>
      <c r="C2349" t="n">
        <v>0</v>
      </c>
      <c r="D2349" t="n">
        <v>19156</v>
      </c>
      <c r="E2349" t="s">
        <v>2355</v>
      </c>
      <c r="F2349" t="s"/>
      <c r="G2349" t="s"/>
      <c r="H2349" t="s"/>
      <c r="I2349" t="s"/>
      <c r="J2349" t="n">
        <v>0</v>
      </c>
      <c r="K2349" t="n">
        <v>0</v>
      </c>
      <c r="L2349" t="n">
        <v>1</v>
      </c>
      <c r="M2349" t="n">
        <v>0</v>
      </c>
    </row>
    <row r="2350" spans="1:13">
      <c r="A2350" s="1">
        <f>HYPERLINK("http://www.twitter.com/NathanBLawrence/status/989726583094050818", "989726583094050818")</f>
        <v/>
      </c>
      <c r="B2350" s="2" t="n">
        <v>43217.19652777778</v>
      </c>
      <c r="C2350" t="n">
        <v>0</v>
      </c>
      <c r="D2350" t="n">
        <v>1934</v>
      </c>
      <c r="E2350" t="s">
        <v>2356</v>
      </c>
      <c r="F2350" t="s"/>
      <c r="G2350" t="s"/>
      <c r="H2350" t="s"/>
      <c r="I2350" t="s"/>
      <c r="J2350" t="n">
        <v>0.7262999999999999</v>
      </c>
      <c r="K2350" t="n">
        <v>0.095</v>
      </c>
      <c r="L2350" t="n">
        <v>0.623</v>
      </c>
      <c r="M2350" t="n">
        <v>0.282</v>
      </c>
    </row>
    <row r="2351" spans="1:13">
      <c r="A2351" s="1">
        <f>HYPERLINK("http://www.twitter.com/NathanBLawrence/status/989726513904869377", "989726513904869377")</f>
        <v/>
      </c>
      <c r="B2351" s="2" t="n">
        <v>43217.19633101852</v>
      </c>
      <c r="C2351" t="n">
        <v>0</v>
      </c>
      <c r="D2351" t="n">
        <v>36930</v>
      </c>
      <c r="E2351" t="s">
        <v>2357</v>
      </c>
      <c r="F2351">
        <f>HYPERLINK("http://pbs.twimg.com/media/DbuPLXVVAAArf2E.jpg", "http://pbs.twimg.com/media/DbuPLXVVAAArf2E.jpg")</f>
        <v/>
      </c>
      <c r="G2351" t="s"/>
      <c r="H2351" t="s"/>
      <c r="I2351" t="s"/>
      <c r="J2351" t="n">
        <v>0</v>
      </c>
      <c r="K2351" t="n">
        <v>0</v>
      </c>
      <c r="L2351" t="n">
        <v>1</v>
      </c>
      <c r="M2351" t="n">
        <v>0</v>
      </c>
    </row>
    <row r="2352" spans="1:13">
      <c r="A2352" s="1">
        <f>HYPERLINK("http://www.twitter.com/NathanBLawrence/status/989726293292793861", "989726293292793861")</f>
        <v/>
      </c>
      <c r="B2352" s="2" t="n">
        <v>43217.19572916667</v>
      </c>
      <c r="C2352" t="n">
        <v>0</v>
      </c>
      <c r="D2352" t="n">
        <v>4146</v>
      </c>
      <c r="E2352" t="s">
        <v>2358</v>
      </c>
      <c r="F2352" t="s"/>
      <c r="G2352" t="s"/>
      <c r="H2352" t="s"/>
      <c r="I2352" t="s"/>
      <c r="J2352" t="n">
        <v>0.5266999999999999</v>
      </c>
      <c r="K2352" t="n">
        <v>0</v>
      </c>
      <c r="L2352" t="n">
        <v>0.855</v>
      </c>
      <c r="M2352" t="n">
        <v>0.145</v>
      </c>
    </row>
    <row r="2353" spans="1:13">
      <c r="A2353" s="1">
        <f>HYPERLINK("http://www.twitter.com/NathanBLawrence/status/989725887040962560", "989725887040962560")</f>
        <v/>
      </c>
      <c r="B2353" s="2" t="n">
        <v>43217.19460648148</v>
      </c>
      <c r="C2353" t="n">
        <v>0</v>
      </c>
      <c r="D2353" t="n">
        <v>0</v>
      </c>
      <c r="E2353" t="s">
        <v>2359</v>
      </c>
      <c r="F2353" t="s"/>
      <c r="G2353" t="s"/>
      <c r="H2353" t="s"/>
      <c r="I2353" t="s"/>
      <c r="J2353" t="n">
        <v>0</v>
      </c>
      <c r="K2353" t="n">
        <v>0</v>
      </c>
      <c r="L2353" t="n">
        <v>1</v>
      </c>
      <c r="M2353" t="n">
        <v>0</v>
      </c>
    </row>
    <row r="2354" spans="1:13">
      <c r="A2354" s="1">
        <f>HYPERLINK("http://www.twitter.com/NathanBLawrence/status/989724517491662853", "989724517491662853")</f>
        <v/>
      </c>
      <c r="B2354" s="2" t="n">
        <v>43217.19082175926</v>
      </c>
      <c r="C2354" t="n">
        <v>0</v>
      </c>
      <c r="D2354" t="n">
        <v>1262</v>
      </c>
      <c r="E2354" t="s">
        <v>2360</v>
      </c>
      <c r="F2354">
        <f>HYPERLINK("http://pbs.twimg.com/media/Dbuf3k7X4AApPky.jpg", "http://pbs.twimg.com/media/Dbuf3k7X4AApPky.jpg")</f>
        <v/>
      </c>
      <c r="G2354" t="s"/>
      <c r="H2354" t="s"/>
      <c r="I2354" t="s"/>
      <c r="J2354" t="n">
        <v>0</v>
      </c>
      <c r="K2354" t="n">
        <v>0</v>
      </c>
      <c r="L2354" t="n">
        <v>1</v>
      </c>
      <c r="M2354" t="n">
        <v>0</v>
      </c>
    </row>
    <row r="2355" spans="1:13">
      <c r="A2355" s="1">
        <f>HYPERLINK("http://www.twitter.com/NathanBLawrence/status/989724452240871425", "989724452240871425")</f>
        <v/>
      </c>
      <c r="B2355" s="2" t="n">
        <v>43217.19064814815</v>
      </c>
      <c r="C2355" t="n">
        <v>0</v>
      </c>
      <c r="D2355" t="n">
        <v>2751</v>
      </c>
      <c r="E2355" t="s">
        <v>2361</v>
      </c>
      <c r="F2355" t="s"/>
      <c r="G2355" t="s"/>
      <c r="H2355" t="s"/>
      <c r="I2355" t="s"/>
      <c r="J2355" t="n">
        <v>0.7088</v>
      </c>
      <c r="K2355" t="n">
        <v>0</v>
      </c>
      <c r="L2355" t="n">
        <v>0.576</v>
      </c>
      <c r="M2355" t="n">
        <v>0.424</v>
      </c>
    </row>
    <row r="2356" spans="1:13">
      <c r="A2356" s="1">
        <f>HYPERLINK("http://www.twitter.com/NathanBLawrence/status/989724429750972416", "989724429750972416")</f>
        <v/>
      </c>
      <c r="B2356" s="2" t="n">
        <v>43217.1905787037</v>
      </c>
      <c r="C2356" t="n">
        <v>0</v>
      </c>
      <c r="D2356" t="n">
        <v>1424</v>
      </c>
      <c r="E2356" t="s">
        <v>2362</v>
      </c>
      <c r="F2356" t="s"/>
      <c r="G2356" t="s"/>
      <c r="H2356" t="s"/>
      <c r="I2356" t="s"/>
      <c r="J2356" t="n">
        <v>0.2732</v>
      </c>
      <c r="K2356" t="n">
        <v>0.176</v>
      </c>
      <c r="L2356" t="n">
        <v>0.5600000000000001</v>
      </c>
      <c r="M2356" t="n">
        <v>0.264</v>
      </c>
    </row>
    <row r="2357" spans="1:13">
      <c r="A2357" s="1">
        <f>HYPERLINK("http://www.twitter.com/NathanBLawrence/status/989724390681018368", "989724390681018368")</f>
        <v/>
      </c>
      <c r="B2357" s="2" t="n">
        <v>43217.19047453703</v>
      </c>
      <c r="C2357" t="n">
        <v>0</v>
      </c>
      <c r="D2357" t="n">
        <v>18015</v>
      </c>
      <c r="E2357" t="s">
        <v>2363</v>
      </c>
      <c r="F2357" t="s"/>
      <c r="G2357" t="s"/>
      <c r="H2357" t="s"/>
      <c r="I2357" t="s"/>
      <c r="J2357" t="n">
        <v>0.3818</v>
      </c>
      <c r="K2357" t="n">
        <v>0</v>
      </c>
      <c r="L2357" t="n">
        <v>0.833</v>
      </c>
      <c r="M2357" t="n">
        <v>0.167</v>
      </c>
    </row>
    <row r="2358" spans="1:13">
      <c r="A2358" s="1">
        <f>HYPERLINK("http://www.twitter.com/NathanBLawrence/status/989724341880274944", "989724341880274944")</f>
        <v/>
      </c>
      <c r="B2358" s="2" t="n">
        <v>43217.19033564815</v>
      </c>
      <c r="C2358" t="n">
        <v>0</v>
      </c>
      <c r="D2358" t="n">
        <v>240</v>
      </c>
      <c r="E2358" t="s">
        <v>2364</v>
      </c>
      <c r="F2358" t="s"/>
      <c r="G2358" t="s"/>
      <c r="H2358" t="s"/>
      <c r="I2358" t="s"/>
      <c r="J2358" t="n">
        <v>0.8519</v>
      </c>
      <c r="K2358" t="n">
        <v>0</v>
      </c>
      <c r="L2358" t="n">
        <v>0.586</v>
      </c>
      <c r="M2358" t="n">
        <v>0.414</v>
      </c>
    </row>
    <row r="2359" spans="1:13">
      <c r="A2359" s="1">
        <f>HYPERLINK("http://www.twitter.com/NathanBLawrence/status/989724297051553792", "989724297051553792")</f>
        <v/>
      </c>
      <c r="B2359" s="2" t="n">
        <v>43217.19021990741</v>
      </c>
      <c r="C2359" t="n">
        <v>0</v>
      </c>
      <c r="D2359" t="n">
        <v>23217</v>
      </c>
      <c r="E2359" t="s">
        <v>2365</v>
      </c>
      <c r="F2359">
        <f>HYPERLINK("http://pbs.twimg.com/media/DbuXkxDUwAAKlEn.jpg", "http://pbs.twimg.com/media/DbuXkxDUwAAKlEn.jpg")</f>
        <v/>
      </c>
      <c r="G2359" t="s"/>
      <c r="H2359" t="s"/>
      <c r="I2359" t="s"/>
      <c r="J2359" t="n">
        <v>0</v>
      </c>
      <c r="K2359" t="n">
        <v>0</v>
      </c>
      <c r="L2359" t="n">
        <v>1</v>
      </c>
      <c r="M2359" t="n">
        <v>0</v>
      </c>
    </row>
    <row r="2360" spans="1:13">
      <c r="A2360" s="1">
        <f>HYPERLINK("http://www.twitter.com/NathanBLawrence/status/989723941206802434", "989723941206802434")</f>
        <v/>
      </c>
      <c r="B2360" s="2" t="n">
        <v>43217.18923611111</v>
      </c>
      <c r="C2360" t="n">
        <v>0</v>
      </c>
      <c r="D2360" t="n">
        <v>1406</v>
      </c>
      <c r="E2360" t="s">
        <v>2366</v>
      </c>
      <c r="F2360" t="s"/>
      <c r="G2360" t="s"/>
      <c r="H2360" t="s"/>
      <c r="I2360" t="s"/>
      <c r="J2360" t="n">
        <v>0.6705</v>
      </c>
      <c r="K2360" t="n">
        <v>0</v>
      </c>
      <c r="L2360" t="n">
        <v>0.776</v>
      </c>
      <c r="M2360" t="n">
        <v>0.224</v>
      </c>
    </row>
    <row r="2361" spans="1:13">
      <c r="A2361" s="1">
        <f>HYPERLINK("http://www.twitter.com/NathanBLawrence/status/989723539145089030", "989723539145089030")</f>
        <v/>
      </c>
      <c r="B2361" s="2" t="n">
        <v>43217.188125</v>
      </c>
      <c r="C2361" t="n">
        <v>0</v>
      </c>
      <c r="D2361" t="n">
        <v>12004</v>
      </c>
      <c r="E2361" t="s">
        <v>2367</v>
      </c>
      <c r="F2361" t="s"/>
      <c r="G2361" t="s"/>
      <c r="H2361" t="s"/>
      <c r="I2361" t="s"/>
      <c r="J2361" t="n">
        <v>0.5256</v>
      </c>
      <c r="K2361" t="n">
        <v>0.079</v>
      </c>
      <c r="L2361" t="n">
        <v>0.724</v>
      </c>
      <c r="M2361" t="n">
        <v>0.196</v>
      </c>
    </row>
    <row r="2362" spans="1:13">
      <c r="A2362" s="1">
        <f>HYPERLINK("http://www.twitter.com/NathanBLawrence/status/989723465224671233", "989723465224671233")</f>
        <v/>
      </c>
      <c r="B2362" s="2" t="n">
        <v>43217.18791666667</v>
      </c>
      <c r="C2362" t="n">
        <v>0</v>
      </c>
      <c r="D2362" t="n">
        <v>1</v>
      </c>
      <c r="E2362" t="s">
        <v>2368</v>
      </c>
      <c r="F2362" t="s"/>
      <c r="G2362" t="s"/>
      <c r="H2362" t="s"/>
      <c r="I2362" t="s"/>
      <c r="J2362" t="n">
        <v>-0.7177</v>
      </c>
      <c r="K2362" t="n">
        <v>0.333</v>
      </c>
      <c r="L2362" t="n">
        <v>0.667</v>
      </c>
      <c r="M2362" t="n">
        <v>0</v>
      </c>
    </row>
    <row r="2363" spans="1:13">
      <c r="A2363" s="1">
        <f>HYPERLINK("http://www.twitter.com/NathanBLawrence/status/989723432978866176", "989723432978866176")</f>
        <v/>
      </c>
      <c r="B2363" s="2" t="n">
        <v>43217.18783564815</v>
      </c>
      <c r="C2363" t="n">
        <v>0</v>
      </c>
      <c r="D2363" t="n">
        <v>5553</v>
      </c>
      <c r="E2363" t="s">
        <v>2369</v>
      </c>
      <c r="F2363" t="s"/>
      <c r="G2363" t="s"/>
      <c r="H2363" t="s"/>
      <c r="I2363" t="s"/>
      <c r="J2363" t="n">
        <v>-0.5106000000000001</v>
      </c>
      <c r="K2363" t="n">
        <v>0.281</v>
      </c>
      <c r="L2363" t="n">
        <v>0.719</v>
      </c>
      <c r="M2363" t="n">
        <v>0</v>
      </c>
    </row>
    <row r="2364" spans="1:13">
      <c r="A2364" s="1">
        <f>HYPERLINK("http://www.twitter.com/NathanBLawrence/status/989723365261783041", "989723365261783041")</f>
        <v/>
      </c>
      <c r="B2364" s="2" t="n">
        <v>43217.18765046296</v>
      </c>
      <c r="C2364" t="n">
        <v>0</v>
      </c>
      <c r="D2364" t="n">
        <v>1</v>
      </c>
      <c r="E2364" t="s">
        <v>2370</v>
      </c>
      <c r="F2364" t="s"/>
      <c r="G2364" t="s"/>
      <c r="H2364" t="s"/>
      <c r="I2364" t="s"/>
      <c r="J2364" t="n">
        <v>-0.7177</v>
      </c>
      <c r="K2364" t="n">
        <v>0.384</v>
      </c>
      <c r="L2364" t="n">
        <v>0.616</v>
      </c>
      <c r="M2364" t="n">
        <v>0</v>
      </c>
    </row>
    <row r="2365" spans="1:13">
      <c r="A2365" s="1">
        <f>HYPERLINK("http://www.twitter.com/NathanBLawrence/status/989722675370119169", "989722675370119169")</f>
        <v/>
      </c>
      <c r="B2365" s="2" t="n">
        <v>43217.18574074074</v>
      </c>
      <c r="C2365" t="n">
        <v>0</v>
      </c>
      <c r="D2365" t="n">
        <v>3182</v>
      </c>
      <c r="E2365" t="s">
        <v>2371</v>
      </c>
      <c r="F2365" t="s"/>
      <c r="G2365" t="s"/>
      <c r="H2365" t="s"/>
      <c r="I2365" t="s"/>
      <c r="J2365" t="n">
        <v>0.4215</v>
      </c>
      <c r="K2365" t="n">
        <v>0</v>
      </c>
      <c r="L2365" t="n">
        <v>0.865</v>
      </c>
      <c r="M2365" t="n">
        <v>0.135</v>
      </c>
    </row>
    <row r="2366" spans="1:13">
      <c r="A2366" s="1">
        <f>HYPERLINK("http://www.twitter.com/NathanBLawrence/status/989722495757385729", "989722495757385729")</f>
        <v/>
      </c>
      <c r="B2366" s="2" t="n">
        <v>43217.18524305556</v>
      </c>
      <c r="C2366" t="n">
        <v>0</v>
      </c>
      <c r="D2366" t="n">
        <v>4982</v>
      </c>
      <c r="E2366" t="s">
        <v>2372</v>
      </c>
      <c r="F2366">
        <f>HYPERLINK("http://pbs.twimg.com/media/DbmfKikXUAA4mTQ.jpg", "http://pbs.twimg.com/media/DbmfKikXUAA4mTQ.jpg")</f>
        <v/>
      </c>
      <c r="G2366" t="s"/>
      <c r="H2366" t="s"/>
      <c r="I2366" t="s"/>
      <c r="J2366" t="n">
        <v>0.7964</v>
      </c>
      <c r="K2366" t="n">
        <v>0</v>
      </c>
      <c r="L2366" t="n">
        <v>0.717</v>
      </c>
      <c r="M2366" t="n">
        <v>0.283</v>
      </c>
    </row>
    <row r="2367" spans="1:13">
      <c r="A2367" s="1">
        <f>HYPERLINK("http://www.twitter.com/NathanBLawrence/status/989722438026981379", "989722438026981379")</f>
        <v/>
      </c>
      <c r="B2367" s="2" t="n">
        <v>43217.18509259259</v>
      </c>
      <c r="C2367" t="n">
        <v>0</v>
      </c>
      <c r="D2367" t="n">
        <v>560</v>
      </c>
      <c r="E2367" t="s">
        <v>2373</v>
      </c>
      <c r="F2367" t="s"/>
      <c r="G2367" t="s"/>
      <c r="H2367" t="s"/>
      <c r="I2367" t="s"/>
      <c r="J2367" t="n">
        <v>0.9298</v>
      </c>
      <c r="K2367" t="n">
        <v>0</v>
      </c>
      <c r="L2367" t="n">
        <v>0.395</v>
      </c>
      <c r="M2367" t="n">
        <v>0.605</v>
      </c>
    </row>
    <row r="2368" spans="1:13">
      <c r="A2368" s="1">
        <f>HYPERLINK("http://www.twitter.com/NathanBLawrence/status/989722240118751232", "989722240118751232")</f>
        <v/>
      </c>
      <c r="B2368" s="2" t="n">
        <v>43217.18453703704</v>
      </c>
      <c r="C2368" t="n">
        <v>12</v>
      </c>
      <c r="D2368" t="n">
        <v>0</v>
      </c>
      <c r="E2368" t="s">
        <v>2374</v>
      </c>
      <c r="F2368" t="s"/>
      <c r="G2368" t="s"/>
      <c r="H2368" t="s"/>
      <c r="I2368" t="s"/>
      <c r="J2368" t="n">
        <v>0.0258</v>
      </c>
      <c r="K2368" t="n">
        <v>0.067</v>
      </c>
      <c r="L2368" t="n">
        <v>0.863</v>
      </c>
      <c r="M2368" t="n">
        <v>0.07000000000000001</v>
      </c>
    </row>
    <row r="2369" spans="1:13">
      <c r="A2369" s="1">
        <f>HYPERLINK("http://www.twitter.com/NathanBLawrence/status/989721006087401472", "989721006087401472")</f>
        <v/>
      </c>
      <c r="B2369" s="2" t="n">
        <v>43217.18113425926</v>
      </c>
      <c r="C2369" t="n">
        <v>0</v>
      </c>
      <c r="D2369" t="n">
        <v>1515</v>
      </c>
      <c r="E2369" t="s">
        <v>2375</v>
      </c>
      <c r="F2369">
        <f>HYPERLINK("http://pbs.twimg.com/media/DbuLnrlWkAA2doi.jpg", "http://pbs.twimg.com/media/DbuLnrlWkAA2doi.jpg")</f>
        <v/>
      </c>
      <c r="G2369" t="s"/>
      <c r="H2369" t="s"/>
      <c r="I2369" t="s"/>
      <c r="J2369" t="n">
        <v>0.4019</v>
      </c>
      <c r="K2369" t="n">
        <v>0</v>
      </c>
      <c r="L2369" t="n">
        <v>0.899</v>
      </c>
      <c r="M2369" t="n">
        <v>0.101</v>
      </c>
    </row>
    <row r="2370" spans="1:13">
      <c r="A2370" s="1">
        <f>HYPERLINK("http://www.twitter.com/NathanBLawrence/status/989720906829197313", "989720906829197313")</f>
        <v/>
      </c>
      <c r="B2370" s="2" t="n">
        <v>43217.18085648148</v>
      </c>
      <c r="C2370" t="n">
        <v>0</v>
      </c>
      <c r="D2370" t="n">
        <v>1967</v>
      </c>
      <c r="E2370" t="s">
        <v>2376</v>
      </c>
      <c r="F2370">
        <f>HYPERLINK("http://pbs.twimg.com/media/Dbuc-APWsAA9ski.jpg", "http://pbs.twimg.com/media/Dbuc-APWsAA9ski.jpg")</f>
        <v/>
      </c>
      <c r="G2370" t="s"/>
      <c r="H2370" t="s"/>
      <c r="I2370" t="s"/>
      <c r="J2370" t="n">
        <v>0</v>
      </c>
      <c r="K2370" t="n">
        <v>0</v>
      </c>
      <c r="L2370" t="n">
        <v>1</v>
      </c>
      <c r="M2370" t="n">
        <v>0</v>
      </c>
    </row>
    <row r="2371" spans="1:13">
      <c r="A2371" s="1">
        <f>HYPERLINK("http://www.twitter.com/NathanBLawrence/status/989720634719584258", "989720634719584258")</f>
        <v/>
      </c>
      <c r="B2371" s="2" t="n">
        <v>43217.18011574074</v>
      </c>
      <c r="C2371" t="n">
        <v>0</v>
      </c>
      <c r="D2371" t="n">
        <v>0</v>
      </c>
      <c r="E2371" t="s">
        <v>2377</v>
      </c>
      <c r="F2371" t="s"/>
      <c r="G2371" t="s"/>
      <c r="H2371" t="s"/>
      <c r="I2371" t="s"/>
      <c r="J2371" t="n">
        <v>-0.4586</v>
      </c>
      <c r="K2371" t="n">
        <v>0.221</v>
      </c>
      <c r="L2371" t="n">
        <v>0.65</v>
      </c>
      <c r="M2371" t="n">
        <v>0.128</v>
      </c>
    </row>
    <row r="2372" spans="1:13">
      <c r="A2372" s="1">
        <f>HYPERLINK("http://www.twitter.com/NathanBLawrence/status/989720252136148992", "989720252136148992")</f>
        <v/>
      </c>
      <c r="B2372" s="2" t="n">
        <v>43217.17905092592</v>
      </c>
      <c r="C2372" t="n">
        <v>0</v>
      </c>
      <c r="D2372" t="n">
        <v>0</v>
      </c>
      <c r="E2372" t="s">
        <v>2378</v>
      </c>
      <c r="F2372" t="s"/>
      <c r="G2372" t="s"/>
      <c r="H2372" t="s"/>
      <c r="I2372" t="s"/>
      <c r="J2372" t="n">
        <v>0.25</v>
      </c>
      <c r="K2372" t="n">
        <v>0.079</v>
      </c>
      <c r="L2372" t="n">
        <v>0.794</v>
      </c>
      <c r="M2372" t="n">
        <v>0.126</v>
      </c>
    </row>
    <row r="2373" spans="1:13">
      <c r="A2373" s="1">
        <f>HYPERLINK("http://www.twitter.com/NathanBLawrence/status/989719818193387520", "989719818193387520")</f>
        <v/>
      </c>
      <c r="B2373" s="2" t="n">
        <v>43217.1778587963</v>
      </c>
      <c r="C2373" t="n">
        <v>0</v>
      </c>
      <c r="D2373" t="n">
        <v>2105</v>
      </c>
      <c r="E2373" t="s">
        <v>2379</v>
      </c>
      <c r="F2373">
        <f>HYPERLINK("http://pbs.twimg.com/media/Dbupa3tUQAAOOPU.jpg", "http://pbs.twimg.com/media/Dbupa3tUQAAOOPU.jpg")</f>
        <v/>
      </c>
      <c r="G2373">
        <f>HYPERLINK("http://pbs.twimg.com/media/Dbupa3tVMAAwits.jpg", "http://pbs.twimg.com/media/Dbupa3tVMAAwits.jpg")</f>
        <v/>
      </c>
      <c r="H2373" t="s"/>
      <c r="I2373" t="s"/>
      <c r="J2373" t="n">
        <v>0</v>
      </c>
      <c r="K2373" t="n">
        <v>0</v>
      </c>
      <c r="L2373" t="n">
        <v>1</v>
      </c>
      <c r="M2373" t="n">
        <v>0</v>
      </c>
    </row>
    <row r="2374" spans="1:13">
      <c r="A2374" s="1">
        <f>HYPERLINK("http://www.twitter.com/NathanBLawrence/status/989719668284772352", "989719668284772352")</f>
        <v/>
      </c>
      <c r="B2374" s="2" t="n">
        <v>43217.17744212963</v>
      </c>
      <c r="C2374" t="n">
        <v>0</v>
      </c>
      <c r="D2374" t="n">
        <v>0</v>
      </c>
      <c r="E2374" t="s">
        <v>2380</v>
      </c>
      <c r="F2374" t="s"/>
      <c r="G2374" t="s"/>
      <c r="H2374" t="s"/>
      <c r="I2374" t="s"/>
      <c r="J2374" t="n">
        <v>0.308</v>
      </c>
      <c r="K2374" t="n">
        <v>0</v>
      </c>
      <c r="L2374" t="n">
        <v>0.6889999999999999</v>
      </c>
      <c r="M2374" t="n">
        <v>0.311</v>
      </c>
    </row>
    <row r="2375" spans="1:13">
      <c r="A2375" s="1">
        <f>HYPERLINK("http://www.twitter.com/NathanBLawrence/status/989719073725399041", "989719073725399041")</f>
        <v/>
      </c>
      <c r="B2375" s="2" t="n">
        <v>43217.17579861111</v>
      </c>
      <c r="C2375" t="n">
        <v>0</v>
      </c>
      <c r="D2375" t="n">
        <v>0</v>
      </c>
      <c r="E2375" t="s">
        <v>2381</v>
      </c>
      <c r="F2375" t="s"/>
      <c r="G2375" t="s"/>
      <c r="H2375" t="s"/>
      <c r="I2375" t="s"/>
      <c r="J2375" t="n">
        <v>0.9352</v>
      </c>
      <c r="K2375" t="n">
        <v>0</v>
      </c>
      <c r="L2375" t="n">
        <v>0.544</v>
      </c>
      <c r="M2375" t="n">
        <v>0.456</v>
      </c>
    </row>
    <row r="2376" spans="1:13">
      <c r="A2376" s="1">
        <f>HYPERLINK("http://www.twitter.com/NathanBLawrence/status/989718428347912192", "989718428347912192")</f>
        <v/>
      </c>
      <c r="B2376" s="2" t="n">
        <v>43217.17402777778</v>
      </c>
      <c r="C2376" t="n">
        <v>0</v>
      </c>
      <c r="D2376" t="n">
        <v>0</v>
      </c>
      <c r="E2376" t="s">
        <v>2382</v>
      </c>
      <c r="F2376" t="s"/>
      <c r="G2376" t="s"/>
      <c r="H2376" t="s"/>
      <c r="I2376" t="s"/>
      <c r="J2376" t="n">
        <v>-0.0772</v>
      </c>
      <c r="K2376" t="n">
        <v>0.208</v>
      </c>
      <c r="L2376" t="n">
        <v>0.592</v>
      </c>
      <c r="M2376" t="n">
        <v>0.2</v>
      </c>
    </row>
    <row r="2377" spans="1:13">
      <c r="A2377" s="1">
        <f>HYPERLINK("http://www.twitter.com/NathanBLawrence/status/989717656780525572", "989717656780525572")</f>
        <v/>
      </c>
      <c r="B2377" s="2" t="n">
        <v>43217.17189814815</v>
      </c>
      <c r="C2377" t="n">
        <v>0</v>
      </c>
      <c r="D2377" t="n">
        <v>8536</v>
      </c>
      <c r="E2377" t="s">
        <v>2383</v>
      </c>
      <c r="F2377">
        <f>HYPERLINK("http://pbs.twimg.com/media/Dbu-VllV0AEWAly.jpg", "http://pbs.twimg.com/media/Dbu-VllV0AEWAly.jpg")</f>
        <v/>
      </c>
      <c r="G2377">
        <f>HYPERLINK("http://pbs.twimg.com/media/Dbu-VlnVwAAKZAz.jpg", "http://pbs.twimg.com/media/Dbu-VlnVwAAKZAz.jpg")</f>
        <v/>
      </c>
      <c r="H2377" t="s"/>
      <c r="I2377" t="s"/>
      <c r="J2377" t="n">
        <v>0.875</v>
      </c>
      <c r="K2377" t="n">
        <v>0</v>
      </c>
      <c r="L2377" t="n">
        <v>0.667</v>
      </c>
      <c r="M2377" t="n">
        <v>0.333</v>
      </c>
    </row>
    <row r="2378" spans="1:13">
      <c r="A2378" s="1">
        <f>HYPERLINK("http://www.twitter.com/NathanBLawrence/status/989717575637516288", "989717575637516288")</f>
        <v/>
      </c>
      <c r="B2378" s="2" t="n">
        <v>43217.17166666667</v>
      </c>
      <c r="C2378" t="n">
        <v>0</v>
      </c>
      <c r="D2378" t="n">
        <v>2645</v>
      </c>
      <c r="E2378" t="s">
        <v>2384</v>
      </c>
      <c r="F2378">
        <f>HYPERLINK("https://video.twimg.com/ext_tw_video/989632747034546176/pu/vid/1280x720/gnWuOnzVyhzapadS.mp4?tag=3", "https://video.twimg.com/ext_tw_video/989632747034546176/pu/vid/1280x720/gnWuOnzVyhzapadS.mp4?tag=3")</f>
        <v/>
      </c>
      <c r="G2378" t="s"/>
      <c r="H2378" t="s"/>
      <c r="I2378" t="s"/>
      <c r="J2378" t="n">
        <v>0.6588000000000001</v>
      </c>
      <c r="K2378" t="n">
        <v>0</v>
      </c>
      <c r="L2378" t="n">
        <v>0.774</v>
      </c>
      <c r="M2378" t="n">
        <v>0.226</v>
      </c>
    </row>
    <row r="2379" spans="1:13">
      <c r="A2379" s="1">
        <f>HYPERLINK("http://www.twitter.com/NathanBLawrence/status/989717345240170496", "989717345240170496")</f>
        <v/>
      </c>
      <c r="B2379" s="2" t="n">
        <v>43217.17103009259</v>
      </c>
      <c r="C2379" t="n">
        <v>0</v>
      </c>
      <c r="D2379" t="n">
        <v>4506</v>
      </c>
      <c r="E2379" t="s">
        <v>2385</v>
      </c>
      <c r="F2379" t="s"/>
      <c r="G2379" t="s"/>
      <c r="H2379" t="s"/>
      <c r="I2379" t="s"/>
      <c r="J2379" t="n">
        <v>0.5994</v>
      </c>
      <c r="K2379" t="n">
        <v>0</v>
      </c>
      <c r="L2379" t="n">
        <v>0.822</v>
      </c>
      <c r="M2379" t="n">
        <v>0.178</v>
      </c>
    </row>
    <row r="2380" spans="1:13">
      <c r="A2380" s="1">
        <f>HYPERLINK("http://www.twitter.com/NathanBLawrence/status/989717273974718464", "989717273974718464")</f>
        <v/>
      </c>
      <c r="B2380" s="2" t="n">
        <v>43217.17083333333</v>
      </c>
      <c r="C2380" t="n">
        <v>0</v>
      </c>
      <c r="D2380" t="n">
        <v>5295</v>
      </c>
      <c r="E2380" t="s">
        <v>2386</v>
      </c>
      <c r="F2380">
        <f>HYPERLINK("http://pbs.twimg.com/media/DbwUjr2X4AAUyep.jpg", "http://pbs.twimg.com/media/DbwUjr2X4AAUyep.jpg")</f>
        <v/>
      </c>
      <c r="G2380" t="s"/>
      <c r="H2380" t="s"/>
      <c r="I2380" t="s"/>
      <c r="J2380" t="n">
        <v>0.1007</v>
      </c>
      <c r="K2380" t="n">
        <v>0.307</v>
      </c>
      <c r="L2380" t="n">
        <v>0.455</v>
      </c>
      <c r="M2380" t="n">
        <v>0.239</v>
      </c>
    </row>
    <row r="2381" spans="1:13">
      <c r="A2381" s="1">
        <f>HYPERLINK("http://www.twitter.com/NathanBLawrence/status/989716011568918528", "989716011568918528")</f>
        <v/>
      </c>
      <c r="B2381" s="2" t="n">
        <v>43217.16734953703</v>
      </c>
      <c r="C2381" t="n">
        <v>0</v>
      </c>
      <c r="D2381" t="n">
        <v>0</v>
      </c>
      <c r="E2381" t="s">
        <v>2387</v>
      </c>
      <c r="F2381" t="s"/>
      <c r="G2381" t="s"/>
      <c r="H2381" t="s"/>
      <c r="I2381" t="s"/>
      <c r="J2381" t="n">
        <v>0.9617</v>
      </c>
      <c r="K2381" t="n">
        <v>0.048</v>
      </c>
      <c r="L2381" t="n">
        <v>0.457</v>
      </c>
      <c r="M2381" t="n">
        <v>0.495</v>
      </c>
    </row>
    <row r="2382" spans="1:13">
      <c r="A2382" s="1">
        <f>HYPERLINK("http://www.twitter.com/NathanBLawrence/status/989710963082383361", "989710963082383361")</f>
        <v/>
      </c>
      <c r="B2382" s="2" t="n">
        <v>43217.15342592593</v>
      </c>
      <c r="C2382" t="n">
        <v>0</v>
      </c>
      <c r="D2382" t="n">
        <v>0</v>
      </c>
      <c r="E2382" t="s">
        <v>2388</v>
      </c>
      <c r="F2382" t="s"/>
      <c r="G2382" t="s"/>
      <c r="H2382" t="s"/>
      <c r="I2382" t="s"/>
      <c r="J2382" t="n">
        <v>-0.7579</v>
      </c>
      <c r="K2382" t="n">
        <v>0.263</v>
      </c>
      <c r="L2382" t="n">
        <v>0.639</v>
      </c>
      <c r="M2382" t="n">
        <v>0.097</v>
      </c>
    </row>
    <row r="2383" spans="1:13">
      <c r="A2383" s="1">
        <f>HYPERLINK("http://www.twitter.com/NathanBLawrence/status/989704700160229377", "989704700160229377")</f>
        <v/>
      </c>
      <c r="B2383" s="2" t="n">
        <v>43217.13613425926</v>
      </c>
      <c r="C2383" t="n">
        <v>1</v>
      </c>
      <c r="D2383" t="n">
        <v>0</v>
      </c>
      <c r="E2383" t="s">
        <v>2389</v>
      </c>
      <c r="F2383" t="s"/>
      <c r="G2383" t="s"/>
      <c r="H2383" t="s"/>
      <c r="I2383" t="s"/>
      <c r="J2383" t="n">
        <v>0.5266999999999999</v>
      </c>
      <c r="K2383" t="n">
        <v>0.082</v>
      </c>
      <c r="L2383" t="n">
        <v>0.747</v>
      </c>
      <c r="M2383" t="n">
        <v>0.17</v>
      </c>
    </row>
    <row r="2384" spans="1:13">
      <c r="A2384" s="1">
        <f>HYPERLINK("http://www.twitter.com/NathanBLawrence/status/989703885873864704", "989703885873864704")</f>
        <v/>
      </c>
      <c r="B2384" s="2" t="n">
        <v>43217.13388888889</v>
      </c>
      <c r="C2384" t="n">
        <v>0</v>
      </c>
      <c r="D2384" t="n">
        <v>658</v>
      </c>
      <c r="E2384" t="s">
        <v>2390</v>
      </c>
      <c r="F2384">
        <f>HYPERLINK("http://pbs.twimg.com/media/Dbua0bgW4AEzbdC.jpg", "http://pbs.twimg.com/media/Dbua0bgW4AEzbdC.jpg")</f>
        <v/>
      </c>
      <c r="G2384" t="s"/>
      <c r="H2384" t="s"/>
      <c r="I2384" t="s"/>
      <c r="J2384" t="n">
        <v>0</v>
      </c>
      <c r="K2384" t="n">
        <v>0</v>
      </c>
      <c r="L2384" t="n">
        <v>1</v>
      </c>
      <c r="M2384" t="n">
        <v>0</v>
      </c>
    </row>
    <row r="2385" spans="1:13">
      <c r="A2385" s="1">
        <f>HYPERLINK("http://www.twitter.com/NathanBLawrence/status/989703514749202432", "989703514749202432")</f>
        <v/>
      </c>
      <c r="B2385" s="2" t="n">
        <v>43217.13287037037</v>
      </c>
      <c r="C2385" t="n">
        <v>0</v>
      </c>
      <c r="D2385" t="n">
        <v>1336</v>
      </c>
      <c r="E2385" t="s">
        <v>2391</v>
      </c>
      <c r="F2385">
        <f>HYPERLINK("https://video.twimg.com/amplify_video/989585377265684480/vid/1280x720/9lPRwYu2Xoli0upi.mp4?tag=2", "https://video.twimg.com/amplify_video/989585377265684480/vid/1280x720/9lPRwYu2Xoli0upi.mp4?tag=2")</f>
        <v/>
      </c>
      <c r="G2385" t="s"/>
      <c r="H2385" t="s"/>
      <c r="I2385" t="s"/>
      <c r="J2385" t="n">
        <v>0</v>
      </c>
      <c r="K2385" t="n">
        <v>0</v>
      </c>
      <c r="L2385" t="n">
        <v>1</v>
      </c>
      <c r="M2385" t="n">
        <v>0</v>
      </c>
    </row>
    <row r="2386" spans="1:13">
      <c r="A2386" s="1">
        <f>HYPERLINK("http://www.twitter.com/NathanBLawrence/status/989703373300555778", "989703373300555778")</f>
        <v/>
      </c>
      <c r="B2386" s="2" t="n">
        <v>43217.13247685185</v>
      </c>
      <c r="C2386" t="n">
        <v>0</v>
      </c>
      <c r="D2386" t="n">
        <v>11254</v>
      </c>
      <c r="E2386" t="s">
        <v>2392</v>
      </c>
      <c r="F2386" t="s"/>
      <c r="G2386" t="s"/>
      <c r="H2386" t="s"/>
      <c r="I2386" t="s"/>
      <c r="J2386" t="n">
        <v>0.8516</v>
      </c>
      <c r="K2386" t="n">
        <v>0</v>
      </c>
      <c r="L2386" t="n">
        <v>0.491</v>
      </c>
      <c r="M2386" t="n">
        <v>0.509</v>
      </c>
    </row>
    <row r="2387" spans="1:13">
      <c r="A2387" s="1">
        <f>HYPERLINK("http://www.twitter.com/NathanBLawrence/status/989703073047003136", "989703073047003136")</f>
        <v/>
      </c>
      <c r="B2387" s="2" t="n">
        <v>43217.13165509259</v>
      </c>
      <c r="C2387" t="n">
        <v>0</v>
      </c>
      <c r="D2387" t="n">
        <v>7</v>
      </c>
      <c r="E2387" t="s">
        <v>2393</v>
      </c>
      <c r="F2387" t="s"/>
      <c r="G2387" t="s"/>
      <c r="H2387" t="s"/>
      <c r="I2387" t="s"/>
      <c r="J2387" t="n">
        <v>0</v>
      </c>
      <c r="K2387" t="n">
        <v>0</v>
      </c>
      <c r="L2387" t="n">
        <v>1</v>
      </c>
      <c r="M2387" t="n">
        <v>0</v>
      </c>
    </row>
    <row r="2388" spans="1:13">
      <c r="A2388" s="1">
        <f>HYPERLINK("http://www.twitter.com/NathanBLawrence/status/989702978721300480", "989702978721300480")</f>
        <v/>
      </c>
      <c r="B2388" s="2" t="n">
        <v>43217.13138888889</v>
      </c>
      <c r="C2388" t="n">
        <v>0</v>
      </c>
      <c r="D2388" t="n">
        <v>60</v>
      </c>
      <c r="E2388" t="s">
        <v>2394</v>
      </c>
      <c r="F2388" t="s"/>
      <c r="G2388" t="s"/>
      <c r="H2388" t="s"/>
      <c r="I2388" t="s"/>
      <c r="J2388" t="n">
        <v>0</v>
      </c>
      <c r="K2388" t="n">
        <v>0</v>
      </c>
      <c r="L2388" t="n">
        <v>1</v>
      </c>
      <c r="M2388" t="n">
        <v>0</v>
      </c>
    </row>
    <row r="2389" spans="1:13">
      <c r="A2389" s="1">
        <f>HYPERLINK("http://www.twitter.com/NathanBLawrence/status/989702739771908100", "989702739771908100")</f>
        <v/>
      </c>
      <c r="B2389" s="2" t="n">
        <v>43217.13072916667</v>
      </c>
      <c r="C2389" t="n">
        <v>0</v>
      </c>
      <c r="D2389" t="n">
        <v>778</v>
      </c>
      <c r="E2389" t="s">
        <v>2395</v>
      </c>
      <c r="F2389" t="s"/>
      <c r="G2389" t="s"/>
      <c r="H2389" t="s"/>
      <c r="I2389" t="s"/>
      <c r="J2389" t="n">
        <v>0</v>
      </c>
      <c r="K2389" t="n">
        <v>0</v>
      </c>
      <c r="L2389" t="n">
        <v>1</v>
      </c>
      <c r="M2389" t="n">
        <v>0</v>
      </c>
    </row>
    <row r="2390" spans="1:13">
      <c r="A2390" s="1">
        <f>HYPERLINK("http://www.twitter.com/NathanBLawrence/status/989693970509791233", "989693970509791233")</f>
        <v/>
      </c>
      <c r="B2390" s="2" t="n">
        <v>43217.10652777777</v>
      </c>
      <c r="C2390" t="n">
        <v>16</v>
      </c>
      <c r="D2390" t="n">
        <v>5</v>
      </c>
      <c r="E2390" t="s">
        <v>2396</v>
      </c>
      <c r="F2390" t="s"/>
      <c r="G2390" t="s"/>
      <c r="H2390" t="s"/>
      <c r="I2390" t="s"/>
      <c r="J2390" t="n">
        <v>-0.8519</v>
      </c>
      <c r="K2390" t="n">
        <v>0.231</v>
      </c>
      <c r="L2390" t="n">
        <v>0.6870000000000001</v>
      </c>
      <c r="M2390" t="n">
        <v>0.081</v>
      </c>
    </row>
    <row r="2391" spans="1:13">
      <c r="A2391" s="1">
        <f>HYPERLINK("http://www.twitter.com/NathanBLawrence/status/989690130377064449", "989690130377064449")</f>
        <v/>
      </c>
      <c r="B2391" s="2" t="n">
        <v>43217.0959375</v>
      </c>
      <c r="C2391" t="n">
        <v>0</v>
      </c>
      <c r="D2391" t="n">
        <v>13</v>
      </c>
      <c r="E2391" t="s">
        <v>2397</v>
      </c>
      <c r="F2391" t="s"/>
      <c r="G2391" t="s"/>
      <c r="H2391" t="s"/>
      <c r="I2391" t="s"/>
      <c r="J2391" t="n">
        <v>0.5574</v>
      </c>
      <c r="K2391" t="n">
        <v>0</v>
      </c>
      <c r="L2391" t="n">
        <v>0.787</v>
      </c>
      <c r="M2391" t="n">
        <v>0.213</v>
      </c>
    </row>
    <row r="2392" spans="1:13">
      <c r="A2392" s="1">
        <f>HYPERLINK("http://www.twitter.com/NathanBLawrence/status/989690053155684352", "989690053155684352")</f>
        <v/>
      </c>
      <c r="B2392" s="2" t="n">
        <v>43217.09571759259</v>
      </c>
      <c r="C2392" t="n">
        <v>13</v>
      </c>
      <c r="D2392" t="n">
        <v>13</v>
      </c>
      <c r="E2392" t="s">
        <v>2398</v>
      </c>
      <c r="F2392" t="s"/>
      <c r="G2392" t="s"/>
      <c r="H2392" t="s"/>
      <c r="I2392" t="s"/>
      <c r="J2392" t="n">
        <v>0.7231</v>
      </c>
      <c r="K2392" t="n">
        <v>0.154</v>
      </c>
      <c r="L2392" t="n">
        <v>0.6</v>
      </c>
      <c r="M2392" t="n">
        <v>0.247</v>
      </c>
    </row>
    <row r="2393" spans="1:13">
      <c r="A2393" s="1">
        <f>HYPERLINK("http://www.twitter.com/NathanBLawrence/status/989686320116072450", "989686320116072450")</f>
        <v/>
      </c>
      <c r="B2393" s="2" t="n">
        <v>43217.08541666667</v>
      </c>
      <c r="C2393" t="n">
        <v>0</v>
      </c>
      <c r="D2393" t="n">
        <v>2849</v>
      </c>
      <c r="E2393" t="s">
        <v>2399</v>
      </c>
      <c r="F2393" t="s"/>
      <c r="G2393" t="s"/>
      <c r="H2393" t="s"/>
      <c r="I2393" t="s"/>
      <c r="J2393" t="n">
        <v>-0.2732</v>
      </c>
      <c r="K2393" t="n">
        <v>0.1</v>
      </c>
      <c r="L2393" t="n">
        <v>0.843</v>
      </c>
      <c r="M2393" t="n">
        <v>0.056</v>
      </c>
    </row>
    <row r="2394" spans="1:13">
      <c r="A2394" s="1">
        <f>HYPERLINK("http://www.twitter.com/NathanBLawrence/status/989682588506714112", "989682588506714112")</f>
        <v/>
      </c>
      <c r="B2394" s="2" t="n">
        <v>43217.07512731481</v>
      </c>
      <c r="C2394" t="n">
        <v>0</v>
      </c>
      <c r="D2394" t="n">
        <v>264</v>
      </c>
      <c r="E2394" t="s">
        <v>2400</v>
      </c>
      <c r="F2394" t="s"/>
      <c r="G2394" t="s"/>
      <c r="H2394" t="s"/>
      <c r="I2394" t="s"/>
      <c r="J2394" t="n">
        <v>0.1027</v>
      </c>
      <c r="K2394" t="n">
        <v>0.107</v>
      </c>
      <c r="L2394" t="n">
        <v>0.769</v>
      </c>
      <c r="M2394" t="n">
        <v>0.124</v>
      </c>
    </row>
    <row r="2395" spans="1:13">
      <c r="A2395" s="1">
        <f>HYPERLINK("http://www.twitter.com/NathanBLawrence/status/989682422601039872", "989682422601039872")</f>
        <v/>
      </c>
      <c r="B2395" s="2" t="n">
        <v>43217.07466435185</v>
      </c>
      <c r="C2395" t="n">
        <v>0</v>
      </c>
      <c r="D2395" t="n">
        <v>534</v>
      </c>
      <c r="E2395" t="s">
        <v>2401</v>
      </c>
      <c r="F2395">
        <f>HYPERLINK("http://pbs.twimg.com/media/Dbvh1-DXkAEWSEN.jpg", "http://pbs.twimg.com/media/Dbvh1-DXkAEWSEN.jpg")</f>
        <v/>
      </c>
      <c r="G2395" t="s"/>
      <c r="H2395" t="s"/>
      <c r="I2395" t="s"/>
      <c r="J2395" t="n">
        <v>0</v>
      </c>
      <c r="K2395" t="n">
        <v>0</v>
      </c>
      <c r="L2395" t="n">
        <v>1</v>
      </c>
      <c r="M2395" t="n">
        <v>0</v>
      </c>
    </row>
    <row r="2396" spans="1:13">
      <c r="A2396" s="1">
        <f>HYPERLINK("http://www.twitter.com/NathanBLawrence/status/989682052319428608", "989682052319428608")</f>
        <v/>
      </c>
      <c r="B2396" s="2" t="n">
        <v>43217.07364583333</v>
      </c>
      <c r="C2396" t="n">
        <v>0</v>
      </c>
      <c r="D2396" t="n">
        <v>178</v>
      </c>
      <c r="E2396" t="s">
        <v>2402</v>
      </c>
      <c r="F2396">
        <f>HYPERLINK("http://pbs.twimg.com/media/Dbv7tfWUQAAtwih.jpg", "http://pbs.twimg.com/media/Dbv7tfWUQAAtwih.jpg")</f>
        <v/>
      </c>
      <c r="G2396" t="s"/>
      <c r="H2396" t="s"/>
      <c r="I2396" t="s"/>
      <c r="J2396" t="n">
        <v>0.7262999999999999</v>
      </c>
      <c r="K2396" t="n">
        <v>0</v>
      </c>
      <c r="L2396" t="n">
        <v>0.747</v>
      </c>
      <c r="M2396" t="n">
        <v>0.253</v>
      </c>
    </row>
    <row r="2397" spans="1:13">
      <c r="A2397" s="1">
        <f>HYPERLINK("http://www.twitter.com/NathanBLawrence/status/989681958971060225", "989681958971060225")</f>
        <v/>
      </c>
      <c r="B2397" s="2" t="n">
        <v>43217.0733912037</v>
      </c>
      <c r="C2397" t="n">
        <v>0</v>
      </c>
      <c r="D2397" t="n">
        <v>118</v>
      </c>
      <c r="E2397" t="s">
        <v>2403</v>
      </c>
      <c r="F2397">
        <f>HYPERLINK("http://pbs.twimg.com/media/DbwMEQYX0AAfRUI.jpg", "http://pbs.twimg.com/media/DbwMEQYX0AAfRUI.jpg")</f>
        <v/>
      </c>
      <c r="G2397" t="s"/>
      <c r="H2397" t="s"/>
      <c r="I2397" t="s"/>
      <c r="J2397" t="n">
        <v>0.5574</v>
      </c>
      <c r="K2397" t="n">
        <v>0</v>
      </c>
      <c r="L2397" t="n">
        <v>0.8129999999999999</v>
      </c>
      <c r="M2397" t="n">
        <v>0.187</v>
      </c>
    </row>
    <row r="2398" spans="1:13">
      <c r="A2398" s="1">
        <f>HYPERLINK("http://www.twitter.com/NathanBLawrence/status/989681621535150080", "989681621535150080")</f>
        <v/>
      </c>
      <c r="B2398" s="2" t="n">
        <v>43217.0724537037</v>
      </c>
      <c r="C2398" t="n">
        <v>0</v>
      </c>
      <c r="D2398" t="n">
        <v>435</v>
      </c>
      <c r="E2398" t="s">
        <v>2404</v>
      </c>
      <c r="F2398" t="s"/>
      <c r="G2398" t="s"/>
      <c r="H2398" t="s"/>
      <c r="I2398" t="s"/>
      <c r="J2398" t="n">
        <v>0.25</v>
      </c>
      <c r="K2398" t="n">
        <v>0.063</v>
      </c>
      <c r="L2398" t="n">
        <v>0.839</v>
      </c>
      <c r="M2398" t="n">
        <v>0.098</v>
      </c>
    </row>
    <row r="2399" spans="1:13">
      <c r="A2399" s="1">
        <f>HYPERLINK("http://www.twitter.com/NathanBLawrence/status/989681523577139200", "989681523577139200")</f>
        <v/>
      </c>
      <c r="B2399" s="2" t="n">
        <v>43217.0721875</v>
      </c>
      <c r="C2399" t="n">
        <v>0</v>
      </c>
      <c r="D2399" t="n">
        <v>1</v>
      </c>
      <c r="E2399" t="s">
        <v>2405</v>
      </c>
      <c r="F2399" t="s"/>
      <c r="G2399" t="s"/>
      <c r="H2399" t="s"/>
      <c r="I2399" t="s"/>
      <c r="J2399" t="n">
        <v>-0.308</v>
      </c>
      <c r="K2399" t="n">
        <v>0.097</v>
      </c>
      <c r="L2399" t="n">
        <v>0.903</v>
      </c>
      <c r="M2399" t="n">
        <v>0</v>
      </c>
    </row>
    <row r="2400" spans="1:13">
      <c r="A2400" s="1">
        <f>HYPERLINK("http://www.twitter.com/NathanBLawrence/status/989681444422275074", "989681444422275074")</f>
        <v/>
      </c>
      <c r="B2400" s="2" t="n">
        <v>43217.07196759259</v>
      </c>
      <c r="C2400" t="n">
        <v>0</v>
      </c>
      <c r="D2400" t="n">
        <v>22788</v>
      </c>
      <c r="E2400" t="s">
        <v>2406</v>
      </c>
      <c r="F2400" t="s"/>
      <c r="G2400" t="s"/>
      <c r="H2400" t="s"/>
      <c r="I2400" t="s"/>
      <c r="J2400" t="n">
        <v>0.2342</v>
      </c>
      <c r="K2400" t="n">
        <v>0.103</v>
      </c>
      <c r="L2400" t="n">
        <v>0.763</v>
      </c>
      <c r="M2400" t="n">
        <v>0.134</v>
      </c>
    </row>
    <row r="2401" spans="1:13">
      <c r="A2401" s="1">
        <f>HYPERLINK("http://www.twitter.com/NathanBLawrence/status/989681116750594049", "989681116750594049")</f>
        <v/>
      </c>
      <c r="B2401" s="2" t="n">
        <v>43217.07106481482</v>
      </c>
      <c r="C2401" t="n">
        <v>0</v>
      </c>
      <c r="D2401" t="n">
        <v>1021</v>
      </c>
      <c r="E2401" t="s">
        <v>2407</v>
      </c>
      <c r="F2401">
        <f>HYPERLINK("http://pbs.twimg.com/media/DbwGWRyWkAAvEzZ.jpg", "http://pbs.twimg.com/media/DbwGWRyWkAAvEzZ.jpg")</f>
        <v/>
      </c>
      <c r="G2401">
        <f>HYPERLINK("http://pbs.twimg.com/media/DbwGWRxXkAA99Ma.jpg", "http://pbs.twimg.com/media/DbwGWRxXkAA99Ma.jpg")</f>
        <v/>
      </c>
      <c r="H2401">
        <f>HYPERLINK("http://pbs.twimg.com/media/DbwGWRyWsAAferB.jpg", "http://pbs.twimg.com/media/DbwGWRyWsAAferB.jpg")</f>
        <v/>
      </c>
      <c r="I2401" t="s"/>
      <c r="J2401" t="n">
        <v>0.9468</v>
      </c>
      <c r="K2401" t="n">
        <v>0</v>
      </c>
      <c r="L2401" t="n">
        <v>0.523</v>
      </c>
      <c r="M2401" t="n">
        <v>0.477</v>
      </c>
    </row>
    <row r="2402" spans="1:13">
      <c r="A2402" s="1">
        <f>HYPERLINK("http://www.twitter.com/NathanBLawrence/status/989680830556454912", "989680830556454912")</f>
        <v/>
      </c>
      <c r="B2402" s="2" t="n">
        <v>43217.07027777778</v>
      </c>
      <c r="C2402" t="n">
        <v>0</v>
      </c>
      <c r="D2402" t="n">
        <v>10</v>
      </c>
      <c r="E2402" t="s">
        <v>2408</v>
      </c>
      <c r="F2402">
        <f>HYPERLINK("http://pbs.twimg.com/media/DbwDDfTUwAA-ZgF.jpg", "http://pbs.twimg.com/media/DbwDDfTUwAA-ZgF.jpg")</f>
        <v/>
      </c>
      <c r="G2402" t="s"/>
      <c r="H2402" t="s"/>
      <c r="I2402" t="s"/>
      <c r="J2402" t="n">
        <v>0.7717000000000001</v>
      </c>
      <c r="K2402" t="n">
        <v>0</v>
      </c>
      <c r="L2402" t="n">
        <v>0.732</v>
      </c>
      <c r="M2402" t="n">
        <v>0.268</v>
      </c>
    </row>
    <row r="2403" spans="1:13">
      <c r="A2403" s="1">
        <f>HYPERLINK("http://www.twitter.com/NathanBLawrence/status/989680792132501504", "989680792132501504")</f>
        <v/>
      </c>
      <c r="B2403" s="2" t="n">
        <v>43217.07016203704</v>
      </c>
      <c r="C2403" t="n">
        <v>0</v>
      </c>
      <c r="D2403" t="n">
        <v>466</v>
      </c>
      <c r="E2403" t="s">
        <v>2409</v>
      </c>
      <c r="F2403" t="s"/>
      <c r="G2403" t="s"/>
      <c r="H2403" t="s"/>
      <c r="I2403" t="s"/>
      <c r="J2403" t="n">
        <v>0.7717000000000001</v>
      </c>
      <c r="K2403" t="n">
        <v>0</v>
      </c>
      <c r="L2403" t="n">
        <v>0.767</v>
      </c>
      <c r="M2403" t="n">
        <v>0.233</v>
      </c>
    </row>
    <row r="2404" spans="1:13">
      <c r="A2404" s="1">
        <f>HYPERLINK("http://www.twitter.com/NathanBLawrence/status/989601421786988545", "989601421786988545")</f>
        <v/>
      </c>
      <c r="B2404" s="2" t="n">
        <v>43216.85114583333</v>
      </c>
      <c r="C2404" t="n">
        <v>0</v>
      </c>
      <c r="D2404" t="n">
        <v>344</v>
      </c>
      <c r="E2404" t="s">
        <v>2410</v>
      </c>
      <c r="F2404">
        <f>HYPERLINK("http://pbs.twimg.com/media/DbtTq2tWsAYTdzF.jpg", "http://pbs.twimg.com/media/DbtTq2tWsAYTdzF.jpg")</f>
        <v/>
      </c>
      <c r="G2404" t="s"/>
      <c r="H2404" t="s"/>
      <c r="I2404" t="s"/>
      <c r="J2404" t="n">
        <v>0.6808</v>
      </c>
      <c r="K2404" t="n">
        <v>0.104</v>
      </c>
      <c r="L2404" t="n">
        <v>0.604</v>
      </c>
      <c r="M2404" t="n">
        <v>0.292</v>
      </c>
    </row>
    <row r="2405" spans="1:13">
      <c r="A2405" s="1">
        <f>HYPERLINK("http://www.twitter.com/NathanBLawrence/status/989598969796870144", "989598969796870144")</f>
        <v/>
      </c>
      <c r="B2405" s="2" t="n">
        <v>43216.844375</v>
      </c>
      <c r="C2405" t="n">
        <v>0</v>
      </c>
      <c r="D2405" t="n">
        <v>5</v>
      </c>
      <c r="E2405" t="s">
        <v>2411</v>
      </c>
      <c r="F2405" t="s"/>
      <c r="G2405" t="s"/>
      <c r="H2405" t="s"/>
      <c r="I2405" t="s"/>
      <c r="J2405" t="n">
        <v>0</v>
      </c>
      <c r="K2405" t="n">
        <v>0</v>
      </c>
      <c r="L2405" t="n">
        <v>1</v>
      </c>
      <c r="M2405" t="n">
        <v>0</v>
      </c>
    </row>
    <row r="2406" spans="1:13">
      <c r="A2406" s="1">
        <f>HYPERLINK("http://www.twitter.com/NathanBLawrence/status/989597682996989952", "989597682996989952")</f>
        <v/>
      </c>
      <c r="B2406" s="2" t="n">
        <v>43216.84083333334</v>
      </c>
      <c r="C2406" t="n">
        <v>0</v>
      </c>
      <c r="D2406" t="n">
        <v>3</v>
      </c>
      <c r="E2406" t="s">
        <v>2412</v>
      </c>
      <c r="F2406" t="s"/>
      <c r="G2406" t="s"/>
      <c r="H2406" t="s"/>
      <c r="I2406" t="s"/>
      <c r="J2406" t="n">
        <v>-0.4215</v>
      </c>
      <c r="K2406" t="n">
        <v>0.109</v>
      </c>
      <c r="L2406" t="n">
        <v>0.891</v>
      </c>
      <c r="M2406" t="n">
        <v>0</v>
      </c>
    </row>
    <row r="2407" spans="1:13">
      <c r="A2407" s="1">
        <f>HYPERLINK("http://www.twitter.com/NathanBLawrence/status/989595524222234624", "989595524222234624")</f>
        <v/>
      </c>
      <c r="B2407" s="2" t="n">
        <v>43216.83487268518</v>
      </c>
      <c r="C2407" t="n">
        <v>0</v>
      </c>
      <c r="D2407" t="n">
        <v>3</v>
      </c>
      <c r="E2407" t="s">
        <v>2413</v>
      </c>
      <c r="F2407" t="s"/>
      <c r="G2407" t="s"/>
      <c r="H2407" t="s"/>
      <c r="I2407" t="s"/>
      <c r="J2407" t="n">
        <v>0.4574</v>
      </c>
      <c r="K2407" t="n">
        <v>0</v>
      </c>
      <c r="L2407" t="n">
        <v>0.626</v>
      </c>
      <c r="M2407" t="n">
        <v>0.374</v>
      </c>
    </row>
    <row r="2408" spans="1:13">
      <c r="A2408" s="1">
        <f>HYPERLINK("http://www.twitter.com/NathanBLawrence/status/989595265660211201", "989595265660211201")</f>
        <v/>
      </c>
      <c r="B2408" s="2" t="n">
        <v>43216.83415509259</v>
      </c>
      <c r="C2408" t="n">
        <v>0</v>
      </c>
      <c r="D2408" t="n">
        <v>4163</v>
      </c>
      <c r="E2408" t="s">
        <v>2414</v>
      </c>
      <c r="F2408" t="s"/>
      <c r="G2408" t="s"/>
      <c r="H2408" t="s"/>
      <c r="I2408" t="s"/>
      <c r="J2408" t="n">
        <v>-0.6335</v>
      </c>
      <c r="K2408" t="n">
        <v>0.241</v>
      </c>
      <c r="L2408" t="n">
        <v>0.6860000000000001</v>
      </c>
      <c r="M2408" t="n">
        <v>0.073</v>
      </c>
    </row>
    <row r="2409" spans="1:13">
      <c r="A2409" s="1">
        <f>HYPERLINK("http://www.twitter.com/NathanBLawrence/status/989595126841327616", "989595126841327616")</f>
        <v/>
      </c>
      <c r="B2409" s="2" t="n">
        <v>43216.83377314815</v>
      </c>
      <c r="C2409" t="n">
        <v>0</v>
      </c>
      <c r="D2409" t="n">
        <v>406</v>
      </c>
      <c r="E2409" t="s">
        <v>2415</v>
      </c>
      <c r="F2409" t="s"/>
      <c r="G2409" t="s"/>
      <c r="H2409" t="s"/>
      <c r="I2409" t="s"/>
      <c r="J2409" t="n">
        <v>-0.4215</v>
      </c>
      <c r="K2409" t="n">
        <v>0.113</v>
      </c>
      <c r="L2409" t="n">
        <v>0.887</v>
      </c>
      <c r="M2409" t="n">
        <v>0</v>
      </c>
    </row>
    <row r="2410" spans="1:13">
      <c r="A2410" s="1">
        <f>HYPERLINK("http://www.twitter.com/NathanBLawrence/status/989595043982786560", "989595043982786560")</f>
        <v/>
      </c>
      <c r="B2410" s="2" t="n">
        <v>43216.83354166667</v>
      </c>
      <c r="C2410" t="n">
        <v>0</v>
      </c>
      <c r="D2410" t="n">
        <v>1269</v>
      </c>
      <c r="E2410" t="s">
        <v>2416</v>
      </c>
      <c r="F2410">
        <f>HYPERLINK("http://pbs.twimg.com/media/DbuwLXYVMAA8Uul.jpg", "http://pbs.twimg.com/media/DbuwLXYVMAA8Uul.jpg")</f>
        <v/>
      </c>
      <c r="G2410" t="s"/>
      <c r="H2410" t="s"/>
      <c r="I2410" t="s"/>
      <c r="J2410" t="n">
        <v>0.6466</v>
      </c>
      <c r="K2410" t="n">
        <v>0</v>
      </c>
      <c r="L2410" t="n">
        <v>0.8159999999999999</v>
      </c>
      <c r="M2410" t="n">
        <v>0.184</v>
      </c>
    </row>
    <row r="2411" spans="1:13">
      <c r="A2411" s="1">
        <f>HYPERLINK("http://www.twitter.com/NathanBLawrence/status/989563019515445248", "989563019515445248")</f>
        <v/>
      </c>
      <c r="B2411" s="2" t="n">
        <v>43216.74517361111</v>
      </c>
      <c r="C2411" t="n">
        <v>0</v>
      </c>
      <c r="D2411" t="n">
        <v>0</v>
      </c>
      <c r="E2411" t="s">
        <v>2417</v>
      </c>
      <c r="F2411" t="s"/>
      <c r="G2411" t="s"/>
      <c r="H2411" t="s"/>
      <c r="I2411" t="s"/>
      <c r="J2411" t="n">
        <v>0</v>
      </c>
      <c r="K2411" t="n">
        <v>0</v>
      </c>
      <c r="L2411" t="n">
        <v>1</v>
      </c>
      <c r="M2411" t="n">
        <v>0</v>
      </c>
    </row>
    <row r="2412" spans="1:13">
      <c r="A2412" s="1">
        <f>HYPERLINK("http://www.twitter.com/NathanBLawrence/status/989562855128158208", "989562855128158208")</f>
        <v/>
      </c>
      <c r="B2412" s="2" t="n">
        <v>43216.74472222223</v>
      </c>
      <c r="C2412" t="n">
        <v>0</v>
      </c>
      <c r="D2412" t="n">
        <v>697</v>
      </c>
      <c r="E2412" t="s">
        <v>2418</v>
      </c>
      <c r="F2412" t="s"/>
      <c r="G2412" t="s"/>
      <c r="H2412" t="s"/>
      <c r="I2412" t="s"/>
      <c r="J2412" t="n">
        <v>0.1511</v>
      </c>
      <c r="K2412" t="n">
        <v>0</v>
      </c>
      <c r="L2412" t="n">
        <v>0.9330000000000001</v>
      </c>
      <c r="M2412" t="n">
        <v>0.067</v>
      </c>
    </row>
    <row r="2413" spans="1:13">
      <c r="A2413" s="1">
        <f>HYPERLINK("http://www.twitter.com/NathanBLawrence/status/989562700316295168", "989562700316295168")</f>
        <v/>
      </c>
      <c r="B2413" s="2" t="n">
        <v>43216.74429398148</v>
      </c>
      <c r="C2413" t="n">
        <v>0</v>
      </c>
      <c r="D2413" t="n">
        <v>529</v>
      </c>
      <c r="E2413" t="s">
        <v>2419</v>
      </c>
      <c r="F2413">
        <f>HYPERLINK("http://pbs.twimg.com/media/Dbt4FIdVAAARQ2k.jpg", "http://pbs.twimg.com/media/Dbt4FIdVAAARQ2k.jpg")</f>
        <v/>
      </c>
      <c r="G2413" t="s"/>
      <c r="H2413" t="s"/>
      <c r="I2413" t="s"/>
      <c r="J2413" t="n">
        <v>0.7896</v>
      </c>
      <c r="K2413" t="n">
        <v>0</v>
      </c>
      <c r="L2413" t="n">
        <v>0.741</v>
      </c>
      <c r="M2413" t="n">
        <v>0.259</v>
      </c>
    </row>
    <row r="2414" spans="1:13">
      <c r="A2414" s="1">
        <f>HYPERLINK("http://www.twitter.com/NathanBLawrence/status/989562397508616192", "989562397508616192")</f>
        <v/>
      </c>
      <c r="B2414" s="2" t="n">
        <v>43216.74346064815</v>
      </c>
      <c r="C2414" t="n">
        <v>0</v>
      </c>
      <c r="D2414" t="n">
        <v>3</v>
      </c>
      <c r="E2414" t="s">
        <v>2420</v>
      </c>
      <c r="F2414" t="s"/>
      <c r="G2414" t="s"/>
      <c r="H2414" t="s"/>
      <c r="I2414" t="s"/>
      <c r="J2414" t="n">
        <v>-0.4404</v>
      </c>
      <c r="K2414" t="n">
        <v>0.126</v>
      </c>
      <c r="L2414" t="n">
        <v>0.8179999999999999</v>
      </c>
      <c r="M2414" t="n">
        <v>0.056</v>
      </c>
    </row>
    <row r="2415" spans="1:13">
      <c r="A2415" s="1">
        <f>HYPERLINK("http://www.twitter.com/NathanBLawrence/status/989562048395661312", "989562048395661312")</f>
        <v/>
      </c>
      <c r="B2415" s="2" t="n">
        <v>43216.7425</v>
      </c>
      <c r="C2415" t="n">
        <v>10</v>
      </c>
      <c r="D2415" t="n">
        <v>6</v>
      </c>
      <c r="E2415" t="s">
        <v>2421</v>
      </c>
      <c r="F2415" t="s"/>
      <c r="G2415" t="s"/>
      <c r="H2415" t="s"/>
      <c r="I2415" t="s"/>
      <c r="J2415" t="n">
        <v>-0.8331</v>
      </c>
      <c r="K2415" t="n">
        <v>0.213</v>
      </c>
      <c r="L2415" t="n">
        <v>0.787</v>
      </c>
      <c r="M2415" t="n">
        <v>0</v>
      </c>
    </row>
    <row r="2416" spans="1:13">
      <c r="A2416" s="1">
        <f>HYPERLINK("http://www.twitter.com/NathanBLawrence/status/989560362608492545", "989560362608492545")</f>
        <v/>
      </c>
      <c r="B2416" s="2" t="n">
        <v>43216.73784722222</v>
      </c>
      <c r="C2416" t="n">
        <v>0</v>
      </c>
      <c r="D2416" t="n">
        <v>17143</v>
      </c>
      <c r="E2416" t="s">
        <v>2422</v>
      </c>
      <c r="F2416" t="s"/>
      <c r="G2416" t="s"/>
      <c r="H2416" t="s"/>
      <c r="I2416" t="s"/>
      <c r="J2416" t="n">
        <v>0</v>
      </c>
      <c r="K2416" t="n">
        <v>0</v>
      </c>
      <c r="L2416" t="n">
        <v>1</v>
      </c>
      <c r="M2416" t="n">
        <v>0</v>
      </c>
    </row>
    <row r="2417" spans="1:13">
      <c r="A2417" s="1">
        <f>HYPERLINK("http://www.twitter.com/NathanBLawrence/status/989560248003276800", "989560248003276800")</f>
        <v/>
      </c>
      <c r="B2417" s="2" t="n">
        <v>43216.73752314815</v>
      </c>
      <c r="C2417" t="n">
        <v>0</v>
      </c>
      <c r="D2417" t="n">
        <v>2</v>
      </c>
      <c r="E2417" t="s">
        <v>2423</v>
      </c>
      <c r="F2417" t="s"/>
      <c r="G2417" t="s"/>
      <c r="H2417" t="s"/>
      <c r="I2417" t="s"/>
      <c r="J2417" t="n">
        <v>0</v>
      </c>
      <c r="K2417" t="n">
        <v>0</v>
      </c>
      <c r="L2417" t="n">
        <v>1</v>
      </c>
      <c r="M2417" t="n">
        <v>0</v>
      </c>
    </row>
    <row r="2418" spans="1:13">
      <c r="A2418" s="1">
        <f>HYPERLINK("http://www.twitter.com/NathanBLawrence/status/989560092147109888", "989560092147109888")</f>
        <v/>
      </c>
      <c r="B2418" s="2" t="n">
        <v>43216.73709490741</v>
      </c>
      <c r="C2418" t="n">
        <v>0</v>
      </c>
      <c r="D2418" t="n">
        <v>2</v>
      </c>
      <c r="E2418" t="s">
        <v>2424</v>
      </c>
      <c r="F2418" t="s"/>
      <c r="G2418" t="s"/>
      <c r="H2418" t="s"/>
      <c r="I2418" t="s"/>
      <c r="J2418" t="n">
        <v>0</v>
      </c>
      <c r="K2418" t="n">
        <v>0</v>
      </c>
      <c r="L2418" t="n">
        <v>1</v>
      </c>
      <c r="M2418" t="n">
        <v>0</v>
      </c>
    </row>
    <row r="2419" spans="1:13">
      <c r="A2419" s="1">
        <f>HYPERLINK("http://www.twitter.com/NathanBLawrence/status/989559275516190720", "989559275516190720")</f>
        <v/>
      </c>
      <c r="B2419" s="2" t="n">
        <v>43216.73484953704</v>
      </c>
      <c r="C2419" t="n">
        <v>1</v>
      </c>
      <c r="D2419" t="n">
        <v>0</v>
      </c>
      <c r="E2419" t="s">
        <v>2425</v>
      </c>
      <c r="F2419">
        <f>HYPERLINK("http://pbs.twimg.com/media/Dbue1LJU0AAmkey.jpg", "http://pbs.twimg.com/media/Dbue1LJU0AAmkey.jpg")</f>
        <v/>
      </c>
      <c r="G2419">
        <f>HYPERLINK("http://pbs.twimg.com/media/Dbue5YmVAAAy93j.jpg", "http://pbs.twimg.com/media/Dbue5YmVAAAy93j.jpg")</f>
        <v/>
      </c>
      <c r="H2419" t="s"/>
      <c r="I2419" t="s"/>
      <c r="J2419" t="n">
        <v>-0.8948</v>
      </c>
      <c r="K2419" t="n">
        <v>0.289</v>
      </c>
      <c r="L2419" t="n">
        <v>0.711</v>
      </c>
      <c r="M2419" t="n">
        <v>0</v>
      </c>
    </row>
    <row r="2420" spans="1:13">
      <c r="A2420" s="1">
        <f>HYPERLINK("http://www.twitter.com/NathanBLawrence/status/989558103669526528", "989558103669526528")</f>
        <v/>
      </c>
      <c r="B2420" s="2" t="n">
        <v>43216.7316087963</v>
      </c>
      <c r="C2420" t="n">
        <v>0</v>
      </c>
      <c r="D2420" t="n">
        <v>2</v>
      </c>
      <c r="E2420" t="s">
        <v>2426</v>
      </c>
      <c r="F2420" t="s"/>
      <c r="G2420" t="s"/>
      <c r="H2420" t="s"/>
      <c r="I2420" t="s"/>
      <c r="J2420" t="n">
        <v>-0.25</v>
      </c>
      <c r="K2420" t="n">
        <v>0.199</v>
      </c>
      <c r="L2420" t="n">
        <v>0.638</v>
      </c>
      <c r="M2420" t="n">
        <v>0.163</v>
      </c>
    </row>
    <row r="2421" spans="1:13">
      <c r="A2421" s="1">
        <f>HYPERLINK("http://www.twitter.com/NathanBLawrence/status/989558039823855616", "989558039823855616")</f>
        <v/>
      </c>
      <c r="B2421" s="2" t="n">
        <v>43216.73143518518</v>
      </c>
      <c r="C2421" t="n">
        <v>0</v>
      </c>
      <c r="D2421" t="n">
        <v>4</v>
      </c>
      <c r="E2421" t="s">
        <v>2427</v>
      </c>
      <c r="F2421">
        <f>HYPERLINK("http://pbs.twimg.com/media/DbudiizVMAA9dBB.jpg", "http://pbs.twimg.com/media/DbudiizVMAA9dBB.jpg")</f>
        <v/>
      </c>
      <c r="G2421">
        <f>HYPERLINK("http://pbs.twimg.com/media/Dbudp2YV4AA2fgN.jpg", "http://pbs.twimg.com/media/Dbudp2YV4AA2fgN.jpg")</f>
        <v/>
      </c>
      <c r="H2421" t="s"/>
      <c r="I2421" t="s"/>
      <c r="J2421" t="n">
        <v>0</v>
      </c>
      <c r="K2421" t="n">
        <v>0</v>
      </c>
      <c r="L2421" t="n">
        <v>1</v>
      </c>
      <c r="M2421" t="n">
        <v>0</v>
      </c>
    </row>
    <row r="2422" spans="1:13">
      <c r="A2422" s="1">
        <f>HYPERLINK("http://www.twitter.com/NathanBLawrence/status/989558015022923776", "989558015022923776")</f>
        <v/>
      </c>
      <c r="B2422" s="2" t="n">
        <v>43216.73136574074</v>
      </c>
      <c r="C2422" t="n">
        <v>4</v>
      </c>
      <c r="D2422" t="n">
        <v>4</v>
      </c>
      <c r="E2422" t="s">
        <v>2428</v>
      </c>
      <c r="F2422">
        <f>HYPERLINK("http://pbs.twimg.com/media/DbudiizVMAA9dBB.jpg", "http://pbs.twimg.com/media/DbudiizVMAA9dBB.jpg")</f>
        <v/>
      </c>
      <c r="G2422">
        <f>HYPERLINK("http://pbs.twimg.com/media/Dbudp2YV4AA2fgN.jpg", "http://pbs.twimg.com/media/Dbudp2YV4AA2fgN.jpg")</f>
        <v/>
      </c>
      <c r="H2422" t="s"/>
      <c r="I2422" t="s"/>
      <c r="J2422" t="n">
        <v>-0.8948</v>
      </c>
      <c r="K2422" t="n">
        <v>0.289</v>
      </c>
      <c r="L2422" t="n">
        <v>0.711</v>
      </c>
      <c r="M2422" t="n">
        <v>0</v>
      </c>
    </row>
    <row r="2423" spans="1:13">
      <c r="A2423" s="1">
        <f>HYPERLINK("http://www.twitter.com/NathanBLawrence/status/989556055498633216", "989556055498633216")</f>
        <v/>
      </c>
      <c r="B2423" s="2" t="n">
        <v>43216.72596064815</v>
      </c>
      <c r="C2423" t="n">
        <v>0</v>
      </c>
      <c r="D2423" t="n">
        <v>5</v>
      </c>
      <c r="E2423" t="s">
        <v>2429</v>
      </c>
      <c r="F2423" t="s"/>
      <c r="G2423" t="s"/>
      <c r="H2423" t="s"/>
      <c r="I2423" t="s"/>
      <c r="J2423" t="n">
        <v>-0.5266999999999999</v>
      </c>
      <c r="K2423" t="n">
        <v>0.152</v>
      </c>
      <c r="L2423" t="n">
        <v>0.848</v>
      </c>
      <c r="M2423" t="n">
        <v>0</v>
      </c>
    </row>
    <row r="2424" spans="1:13">
      <c r="A2424" s="1">
        <f>HYPERLINK("http://www.twitter.com/NathanBLawrence/status/989555982496743424", "989555982496743424")</f>
        <v/>
      </c>
      <c r="B2424" s="2" t="n">
        <v>43216.72575231481</v>
      </c>
      <c r="C2424" t="n">
        <v>0</v>
      </c>
      <c r="D2424" t="n">
        <v>3</v>
      </c>
      <c r="E2424" t="s">
        <v>2430</v>
      </c>
      <c r="F2424" t="s"/>
      <c r="G2424" t="s"/>
      <c r="H2424" t="s"/>
      <c r="I2424" t="s"/>
      <c r="J2424" t="n">
        <v>0</v>
      </c>
      <c r="K2424" t="n">
        <v>0</v>
      </c>
      <c r="L2424" t="n">
        <v>1</v>
      </c>
      <c r="M2424" t="n">
        <v>0</v>
      </c>
    </row>
    <row r="2425" spans="1:13">
      <c r="A2425" s="1">
        <f>HYPERLINK("http://www.twitter.com/NathanBLawrence/status/989555888397537280", "989555888397537280")</f>
        <v/>
      </c>
      <c r="B2425" s="2" t="n">
        <v>43216.72549768518</v>
      </c>
      <c r="C2425" t="n">
        <v>0</v>
      </c>
      <c r="D2425" t="n">
        <v>1</v>
      </c>
      <c r="E2425" t="s">
        <v>2431</v>
      </c>
      <c r="F2425" t="s"/>
      <c r="G2425" t="s"/>
      <c r="H2425" t="s"/>
      <c r="I2425" t="s"/>
      <c r="J2425" t="n">
        <v>0</v>
      </c>
      <c r="K2425" t="n">
        <v>0</v>
      </c>
      <c r="L2425" t="n">
        <v>1</v>
      </c>
      <c r="M2425" t="n">
        <v>0</v>
      </c>
    </row>
    <row r="2426" spans="1:13">
      <c r="A2426" s="1">
        <f>HYPERLINK("http://www.twitter.com/NathanBLawrence/status/989555876380917760", "989555876380917760")</f>
        <v/>
      </c>
      <c r="B2426" s="2" t="n">
        <v>43216.72546296296</v>
      </c>
      <c r="C2426" t="n">
        <v>0</v>
      </c>
      <c r="D2426" t="n">
        <v>1</v>
      </c>
      <c r="E2426" t="s">
        <v>2432</v>
      </c>
      <c r="F2426" t="s"/>
      <c r="G2426" t="s"/>
      <c r="H2426" t="s"/>
      <c r="I2426" t="s"/>
      <c r="J2426" t="n">
        <v>0.2746</v>
      </c>
      <c r="K2426" t="n">
        <v>0</v>
      </c>
      <c r="L2426" t="n">
        <v>0.851</v>
      </c>
      <c r="M2426" t="n">
        <v>0.149</v>
      </c>
    </row>
    <row r="2427" spans="1:13">
      <c r="A2427" s="1">
        <f>HYPERLINK("http://www.twitter.com/NathanBLawrence/status/989555855489052672", "989555855489052672")</f>
        <v/>
      </c>
      <c r="B2427" s="2" t="n">
        <v>43216.72540509259</v>
      </c>
      <c r="C2427" t="n">
        <v>0</v>
      </c>
      <c r="D2427" t="n">
        <v>13</v>
      </c>
      <c r="E2427" t="s">
        <v>2433</v>
      </c>
      <c r="F2427" t="s"/>
      <c r="G2427" t="s"/>
      <c r="H2427" t="s"/>
      <c r="I2427" t="s"/>
      <c r="J2427" t="n">
        <v>0</v>
      </c>
      <c r="K2427" t="n">
        <v>0</v>
      </c>
      <c r="L2427" t="n">
        <v>1</v>
      </c>
      <c r="M2427" t="n">
        <v>0</v>
      </c>
    </row>
    <row r="2428" spans="1:13">
      <c r="A2428" s="1">
        <f>HYPERLINK("http://www.twitter.com/NathanBLawrence/status/989555404702011393", "989555404702011393")</f>
        <v/>
      </c>
      <c r="B2428" s="2" t="n">
        <v>43216.72416666667</v>
      </c>
      <c r="C2428" t="n">
        <v>0</v>
      </c>
      <c r="D2428" t="n">
        <v>173</v>
      </c>
      <c r="E2428" t="s">
        <v>2434</v>
      </c>
      <c r="F2428">
        <f>HYPERLINK("http://pbs.twimg.com/media/Da-mBqAW0AESHrk.jpg", "http://pbs.twimg.com/media/Da-mBqAW0AESHrk.jpg")</f>
        <v/>
      </c>
      <c r="G2428" t="s"/>
      <c r="H2428" t="s"/>
      <c r="I2428" t="s"/>
      <c r="J2428" t="n">
        <v>0.7579</v>
      </c>
      <c r="K2428" t="n">
        <v>0</v>
      </c>
      <c r="L2428" t="n">
        <v>0.651</v>
      </c>
      <c r="M2428" t="n">
        <v>0.349</v>
      </c>
    </row>
    <row r="2429" spans="1:13">
      <c r="A2429" s="1">
        <f>HYPERLINK("http://www.twitter.com/NathanBLawrence/status/989555163240296448", "989555163240296448")</f>
        <v/>
      </c>
      <c r="B2429" s="2" t="n">
        <v>43216.72349537037</v>
      </c>
      <c r="C2429" t="n">
        <v>0</v>
      </c>
      <c r="D2429" t="n">
        <v>1</v>
      </c>
      <c r="E2429" t="s">
        <v>2435</v>
      </c>
      <c r="F2429">
        <f>HYPERLINK("http://pbs.twimg.com/media/Dbua0ArU0AAUWMa.jpg", "http://pbs.twimg.com/media/Dbua0ArU0AAUWMa.jpg")</f>
        <v/>
      </c>
      <c r="G2429" t="s"/>
      <c r="H2429" t="s"/>
      <c r="I2429" t="s"/>
      <c r="J2429" t="n">
        <v>-0.3102</v>
      </c>
      <c r="K2429" t="n">
        <v>0.124</v>
      </c>
      <c r="L2429" t="n">
        <v>0.876</v>
      </c>
      <c r="M2429" t="n">
        <v>0</v>
      </c>
    </row>
    <row r="2430" spans="1:13">
      <c r="A2430" s="1">
        <f>HYPERLINK("http://www.twitter.com/NathanBLawrence/status/989554854832914432", "989554854832914432")</f>
        <v/>
      </c>
      <c r="B2430" s="2" t="n">
        <v>43216.72265046297</v>
      </c>
      <c r="C2430" t="n">
        <v>0</v>
      </c>
      <c r="D2430" t="n">
        <v>1</v>
      </c>
      <c r="E2430" t="s">
        <v>2436</v>
      </c>
      <c r="F2430">
        <f>HYPERLINK("http://pbs.twimg.com/media/Dbua0ArU0AAUWMa.jpg", "http://pbs.twimg.com/media/Dbua0ArU0AAUWMa.jpg")</f>
        <v/>
      </c>
      <c r="G2430" t="s"/>
      <c r="H2430" t="s"/>
      <c r="I2430" t="s"/>
      <c r="J2430" t="n">
        <v>-0.8948</v>
      </c>
      <c r="K2430" t="n">
        <v>0.289</v>
      </c>
      <c r="L2430" t="n">
        <v>0.711</v>
      </c>
      <c r="M2430" t="n">
        <v>0</v>
      </c>
    </row>
    <row r="2431" spans="1:13">
      <c r="A2431" s="1">
        <f>HYPERLINK("http://www.twitter.com/NathanBLawrence/status/989553666276245504", "989553666276245504")</f>
        <v/>
      </c>
      <c r="B2431" s="2" t="n">
        <v>43216.71936342592</v>
      </c>
      <c r="C2431" t="n">
        <v>0</v>
      </c>
      <c r="D2431" t="n">
        <v>2</v>
      </c>
      <c r="E2431" t="s">
        <v>2437</v>
      </c>
      <c r="F2431">
        <f>HYPERLINK("http://pbs.twimg.com/media/DbuZv8-V0AAva2X.jpg", "http://pbs.twimg.com/media/DbuZv8-V0AAva2X.jpg")</f>
        <v/>
      </c>
      <c r="G2431" t="s"/>
      <c r="H2431" t="s"/>
      <c r="I2431" t="s"/>
      <c r="J2431" t="n">
        <v>0</v>
      </c>
      <c r="K2431" t="n">
        <v>0</v>
      </c>
      <c r="L2431" t="n">
        <v>1</v>
      </c>
      <c r="M2431" t="n">
        <v>0</v>
      </c>
    </row>
    <row r="2432" spans="1:13">
      <c r="A2432" s="1">
        <f>HYPERLINK("http://www.twitter.com/NathanBLawrence/status/989553637851516929", "989553637851516929")</f>
        <v/>
      </c>
      <c r="B2432" s="2" t="n">
        <v>43216.71928240741</v>
      </c>
      <c r="C2432" t="n">
        <v>2</v>
      </c>
      <c r="D2432" t="n">
        <v>2</v>
      </c>
      <c r="E2432" t="s">
        <v>2438</v>
      </c>
      <c r="F2432">
        <f>HYPERLINK("http://pbs.twimg.com/media/DbuZv8-V0AAva2X.jpg", "http://pbs.twimg.com/media/DbuZv8-V0AAva2X.jpg")</f>
        <v/>
      </c>
      <c r="G2432" t="s"/>
      <c r="H2432" t="s"/>
      <c r="I2432" t="s"/>
      <c r="J2432" t="n">
        <v>-0.636</v>
      </c>
      <c r="K2432" t="n">
        <v>0.189</v>
      </c>
      <c r="L2432" t="n">
        <v>0.8110000000000001</v>
      </c>
      <c r="M2432" t="n">
        <v>0</v>
      </c>
    </row>
    <row r="2433" spans="1:13">
      <c r="A2433" s="1">
        <f>HYPERLINK("http://www.twitter.com/NathanBLawrence/status/989553100359790593", "989553100359790593")</f>
        <v/>
      </c>
      <c r="B2433" s="2" t="n">
        <v>43216.71780092592</v>
      </c>
      <c r="C2433" t="n">
        <v>0</v>
      </c>
      <c r="D2433" t="n">
        <v>7</v>
      </c>
      <c r="E2433" t="s">
        <v>2439</v>
      </c>
      <c r="F2433" t="s"/>
      <c r="G2433" t="s"/>
      <c r="H2433" t="s"/>
      <c r="I2433" t="s"/>
      <c r="J2433" t="n">
        <v>-0.6239</v>
      </c>
      <c r="K2433" t="n">
        <v>0.221</v>
      </c>
      <c r="L2433" t="n">
        <v>0.779</v>
      </c>
      <c r="M2433" t="n">
        <v>0</v>
      </c>
    </row>
    <row r="2434" spans="1:13">
      <c r="A2434" s="1">
        <f>HYPERLINK("http://www.twitter.com/NathanBLawrence/status/989553038133157888", "989553038133157888")</f>
        <v/>
      </c>
      <c r="B2434" s="2" t="n">
        <v>43216.71762731481</v>
      </c>
      <c r="C2434" t="n">
        <v>0</v>
      </c>
      <c r="D2434" t="n">
        <v>8</v>
      </c>
      <c r="E2434" t="s">
        <v>2440</v>
      </c>
      <c r="F2434" t="s"/>
      <c r="G2434" t="s"/>
      <c r="H2434" t="s"/>
      <c r="I2434" t="s"/>
      <c r="J2434" t="n">
        <v>-0.0788</v>
      </c>
      <c r="K2434" t="n">
        <v>0.062</v>
      </c>
      <c r="L2434" t="n">
        <v>0.887</v>
      </c>
      <c r="M2434" t="n">
        <v>0.051</v>
      </c>
    </row>
    <row r="2435" spans="1:13">
      <c r="A2435" s="1">
        <f>HYPERLINK("http://www.twitter.com/NathanBLawrence/status/989550777763966981", "989550777763966981")</f>
        <v/>
      </c>
      <c r="B2435" s="2" t="n">
        <v>43216.71140046296</v>
      </c>
      <c r="C2435" t="n">
        <v>0</v>
      </c>
      <c r="D2435" t="n">
        <v>1</v>
      </c>
      <c r="E2435" t="s">
        <v>2441</v>
      </c>
      <c r="F2435" t="s"/>
      <c r="G2435" t="s"/>
      <c r="H2435" t="s"/>
      <c r="I2435" t="s"/>
      <c r="J2435" t="n">
        <v>0.4881</v>
      </c>
      <c r="K2435" t="n">
        <v>0</v>
      </c>
      <c r="L2435" t="n">
        <v>0.82</v>
      </c>
      <c r="M2435" t="n">
        <v>0.18</v>
      </c>
    </row>
    <row r="2436" spans="1:13">
      <c r="A2436" s="1">
        <f>HYPERLINK("http://www.twitter.com/NathanBLawrence/status/989550136517804032", "989550136517804032")</f>
        <v/>
      </c>
      <c r="B2436" s="2" t="n">
        <v>43216.70962962963</v>
      </c>
      <c r="C2436" t="n">
        <v>0</v>
      </c>
      <c r="D2436" t="n">
        <v>0</v>
      </c>
      <c r="E2436" t="s">
        <v>2442</v>
      </c>
      <c r="F2436" t="s"/>
      <c r="G2436" t="s"/>
      <c r="H2436" t="s"/>
      <c r="I2436" t="s"/>
      <c r="J2436" t="n">
        <v>0.3818</v>
      </c>
      <c r="K2436" t="n">
        <v>0</v>
      </c>
      <c r="L2436" t="n">
        <v>0.8090000000000001</v>
      </c>
      <c r="M2436" t="n">
        <v>0.191</v>
      </c>
    </row>
    <row r="2437" spans="1:13">
      <c r="A2437" s="1">
        <f>HYPERLINK("http://www.twitter.com/NathanBLawrence/status/989548875848417280", "989548875848417280")</f>
        <v/>
      </c>
      <c r="B2437" s="2" t="n">
        <v>43216.70614583333</v>
      </c>
      <c r="C2437" t="n">
        <v>0</v>
      </c>
      <c r="D2437" t="n">
        <v>9</v>
      </c>
      <c r="E2437" t="s">
        <v>2443</v>
      </c>
      <c r="F2437">
        <f>HYPERLINK("http://pbs.twimg.com/media/DbuDwbuWsAAQLUY.jpg", "http://pbs.twimg.com/media/DbuDwbuWsAAQLUY.jpg")</f>
        <v/>
      </c>
      <c r="G2437">
        <f>HYPERLINK("http://pbs.twimg.com/media/DbuDw06X0AEEuAs.jpg", "http://pbs.twimg.com/media/DbuDw06X0AEEuAs.jpg")</f>
        <v/>
      </c>
      <c r="H2437">
        <f>HYPERLINK("http://pbs.twimg.com/media/DbuDxKVWsAASHUo.jpg", "http://pbs.twimg.com/media/DbuDxKVWsAASHUo.jpg")</f>
        <v/>
      </c>
      <c r="I2437">
        <f>HYPERLINK("http://pbs.twimg.com/media/DbuDxuUWkAIXuG0.jpg", "http://pbs.twimg.com/media/DbuDxuUWkAIXuG0.jpg")</f>
        <v/>
      </c>
      <c r="J2437" t="n">
        <v>-0.7906</v>
      </c>
      <c r="K2437" t="n">
        <v>0.269</v>
      </c>
      <c r="L2437" t="n">
        <v>0.731</v>
      </c>
      <c r="M2437" t="n">
        <v>0</v>
      </c>
    </row>
    <row r="2438" spans="1:13">
      <c r="A2438" s="1">
        <f>HYPERLINK("http://www.twitter.com/NathanBLawrence/status/989548785847058432", "989548785847058432")</f>
        <v/>
      </c>
      <c r="B2438" s="2" t="n">
        <v>43216.70590277778</v>
      </c>
      <c r="C2438" t="n">
        <v>0</v>
      </c>
      <c r="D2438" t="n">
        <v>1636</v>
      </c>
      <c r="E2438" t="s">
        <v>2444</v>
      </c>
      <c r="F2438" t="s"/>
      <c r="G2438" t="s"/>
      <c r="H2438" t="s"/>
      <c r="I2438" t="s"/>
      <c r="J2438" t="n">
        <v>-0.3818</v>
      </c>
      <c r="K2438" t="n">
        <v>0.115</v>
      </c>
      <c r="L2438" t="n">
        <v>0.885</v>
      </c>
      <c r="M2438" t="n">
        <v>0</v>
      </c>
    </row>
    <row r="2439" spans="1:13">
      <c r="A2439" s="1">
        <f>HYPERLINK("http://www.twitter.com/NathanBLawrence/status/989548712891375617", "989548712891375617")</f>
        <v/>
      </c>
      <c r="B2439" s="2" t="n">
        <v>43216.70569444444</v>
      </c>
      <c r="C2439" t="n">
        <v>0</v>
      </c>
      <c r="D2439" t="n">
        <v>1165</v>
      </c>
      <c r="E2439" t="s">
        <v>2445</v>
      </c>
      <c r="F2439" t="s"/>
      <c r="G2439" t="s"/>
      <c r="H2439" t="s"/>
      <c r="I2439" t="s"/>
      <c r="J2439" t="n">
        <v>-0.5266999999999999</v>
      </c>
      <c r="K2439" t="n">
        <v>0.173</v>
      </c>
      <c r="L2439" t="n">
        <v>0.827</v>
      </c>
      <c r="M2439" t="n">
        <v>0</v>
      </c>
    </row>
    <row r="2440" spans="1:13">
      <c r="A2440" s="1">
        <f>HYPERLINK("http://www.twitter.com/NathanBLawrence/status/989529189794615296", "989529189794615296")</f>
        <v/>
      </c>
      <c r="B2440" s="2" t="n">
        <v>43216.6518287037</v>
      </c>
      <c r="C2440" t="n">
        <v>0</v>
      </c>
      <c r="D2440" t="n">
        <v>625</v>
      </c>
      <c r="E2440" t="s">
        <v>2446</v>
      </c>
      <c r="F2440">
        <f>HYPERLINK("http://pbs.twimg.com/media/Dbt-8cJX4AAL9I9.jpg", "http://pbs.twimg.com/media/Dbt-8cJX4AAL9I9.jpg")</f>
        <v/>
      </c>
      <c r="G2440" t="s"/>
      <c r="H2440" t="s"/>
      <c r="I2440" t="s"/>
      <c r="J2440" t="n">
        <v>0</v>
      </c>
      <c r="K2440" t="n">
        <v>0</v>
      </c>
      <c r="L2440" t="n">
        <v>1</v>
      </c>
      <c r="M2440" t="n">
        <v>0</v>
      </c>
    </row>
    <row r="2441" spans="1:13">
      <c r="A2441" s="1">
        <f>HYPERLINK("http://www.twitter.com/NathanBLawrence/status/989529039156084736", "989529039156084736")</f>
        <v/>
      </c>
      <c r="B2441" s="2" t="n">
        <v>43216.65141203703</v>
      </c>
      <c r="C2441" t="n">
        <v>16</v>
      </c>
      <c r="D2441" t="n">
        <v>19</v>
      </c>
      <c r="E2441" t="s">
        <v>2447</v>
      </c>
      <c r="F2441" t="s"/>
      <c r="G2441" t="s"/>
      <c r="H2441" t="s"/>
      <c r="I2441" t="s"/>
      <c r="J2441" t="n">
        <v>-0.6739000000000001</v>
      </c>
      <c r="K2441" t="n">
        <v>0.294</v>
      </c>
      <c r="L2441" t="n">
        <v>0.61</v>
      </c>
      <c r="M2441" t="n">
        <v>0.096</v>
      </c>
    </row>
    <row r="2442" spans="1:13">
      <c r="A2442" s="1">
        <f>HYPERLINK("http://www.twitter.com/NathanBLawrence/status/989529004846678017", "989529004846678017")</f>
        <v/>
      </c>
      <c r="B2442" s="2" t="n">
        <v>43216.65130787037</v>
      </c>
      <c r="C2442" t="n">
        <v>0</v>
      </c>
      <c r="D2442" t="n">
        <v>584</v>
      </c>
      <c r="E2442" t="s">
        <v>2448</v>
      </c>
      <c r="F2442">
        <f>HYPERLINK("http://pbs.twimg.com/media/Dbt-yDDW0AET0jc.jpg", "http://pbs.twimg.com/media/Dbt-yDDW0AET0jc.jpg")</f>
        <v/>
      </c>
      <c r="G2442" t="s"/>
      <c r="H2442" t="s"/>
      <c r="I2442" t="s"/>
      <c r="J2442" t="n">
        <v>-0.7717000000000001</v>
      </c>
      <c r="K2442" t="n">
        <v>0.242</v>
      </c>
      <c r="L2442" t="n">
        <v>0.758</v>
      </c>
      <c r="M2442" t="n">
        <v>0</v>
      </c>
    </row>
    <row r="2443" spans="1:13">
      <c r="A2443" s="1">
        <f>HYPERLINK("http://www.twitter.com/NathanBLawrence/status/989527386650628096", "989527386650628096")</f>
        <v/>
      </c>
      <c r="B2443" s="2" t="n">
        <v>43216.64685185185</v>
      </c>
      <c r="C2443" t="n">
        <v>0</v>
      </c>
      <c r="D2443" t="n">
        <v>0</v>
      </c>
      <c r="E2443" t="s">
        <v>2449</v>
      </c>
      <c r="F2443" t="s"/>
      <c r="G2443" t="s"/>
      <c r="H2443" t="s"/>
      <c r="I2443" t="s"/>
      <c r="J2443" t="n">
        <v>0</v>
      </c>
      <c r="K2443" t="n">
        <v>0</v>
      </c>
      <c r="L2443" t="n">
        <v>1</v>
      </c>
      <c r="M2443" t="n">
        <v>0</v>
      </c>
    </row>
    <row r="2444" spans="1:13">
      <c r="A2444" s="1">
        <f>HYPERLINK("http://www.twitter.com/NathanBLawrence/status/989526762047455234", "989526762047455234")</f>
        <v/>
      </c>
      <c r="B2444" s="2" t="n">
        <v>43216.64512731481</v>
      </c>
      <c r="C2444" t="n">
        <v>6</v>
      </c>
      <c r="D2444" t="n">
        <v>4</v>
      </c>
      <c r="E2444" t="s">
        <v>2450</v>
      </c>
      <c r="F2444" t="s"/>
      <c r="G2444" t="s"/>
      <c r="H2444" t="s"/>
      <c r="I2444" t="s"/>
      <c r="J2444" t="n">
        <v>-0.9094</v>
      </c>
      <c r="K2444" t="n">
        <v>0.219</v>
      </c>
      <c r="L2444" t="n">
        <v>0.781</v>
      </c>
      <c r="M2444" t="n">
        <v>0</v>
      </c>
    </row>
    <row r="2445" spans="1:13">
      <c r="A2445" s="1">
        <f>HYPERLINK("http://www.twitter.com/NathanBLawrence/status/989524582863224832", "989524582863224832")</f>
        <v/>
      </c>
      <c r="B2445" s="2" t="n">
        <v>43216.6391087963</v>
      </c>
      <c r="C2445" t="n">
        <v>6</v>
      </c>
      <c r="D2445" t="n">
        <v>2</v>
      </c>
      <c r="E2445" t="s">
        <v>2451</v>
      </c>
      <c r="F2445" t="s"/>
      <c r="G2445" t="s"/>
      <c r="H2445" t="s"/>
      <c r="I2445" t="s"/>
      <c r="J2445" t="n">
        <v>0.0721</v>
      </c>
      <c r="K2445" t="n">
        <v>0.118</v>
      </c>
      <c r="L2445" t="n">
        <v>0.756</v>
      </c>
      <c r="M2445" t="n">
        <v>0.126</v>
      </c>
    </row>
    <row r="2446" spans="1:13">
      <c r="A2446" s="1">
        <f>HYPERLINK("http://www.twitter.com/NathanBLawrence/status/989519042804203521", "989519042804203521")</f>
        <v/>
      </c>
      <c r="B2446" s="2" t="n">
        <v>43216.62381944444</v>
      </c>
      <c r="C2446" t="n">
        <v>0</v>
      </c>
      <c r="D2446" t="n">
        <v>1</v>
      </c>
      <c r="E2446" t="s">
        <v>2452</v>
      </c>
      <c r="F2446" t="s"/>
      <c r="G2446" t="s"/>
      <c r="H2446" t="s"/>
      <c r="I2446" t="s"/>
      <c r="J2446" t="n">
        <v>-0.7088</v>
      </c>
      <c r="K2446" t="n">
        <v>0.214</v>
      </c>
      <c r="L2446" t="n">
        <v>0.786</v>
      </c>
      <c r="M2446" t="n">
        <v>0</v>
      </c>
    </row>
    <row r="2447" spans="1:13">
      <c r="A2447" s="1">
        <f>HYPERLINK("http://www.twitter.com/NathanBLawrence/status/989515790087929856", "989515790087929856")</f>
        <v/>
      </c>
      <c r="B2447" s="2" t="n">
        <v>43216.61484953704</v>
      </c>
      <c r="C2447" t="n">
        <v>0</v>
      </c>
      <c r="D2447" t="n">
        <v>60112</v>
      </c>
      <c r="E2447" t="s">
        <v>2453</v>
      </c>
      <c r="F2447" t="s"/>
      <c r="G2447" t="s"/>
      <c r="H2447" t="s"/>
      <c r="I2447" t="s"/>
      <c r="J2447" t="n">
        <v>0</v>
      </c>
      <c r="K2447" t="n">
        <v>0</v>
      </c>
      <c r="L2447" t="n">
        <v>1</v>
      </c>
      <c r="M2447" t="n">
        <v>0</v>
      </c>
    </row>
    <row r="2448" spans="1:13">
      <c r="A2448" s="1">
        <f>HYPERLINK("http://www.twitter.com/NathanBLawrence/status/989515599595241472", "989515599595241472")</f>
        <v/>
      </c>
      <c r="B2448" s="2" t="n">
        <v>43216.61431712963</v>
      </c>
      <c r="C2448" t="n">
        <v>0</v>
      </c>
      <c r="D2448" t="n">
        <v>97</v>
      </c>
      <c r="E2448" t="s">
        <v>2454</v>
      </c>
      <c r="F2448">
        <f>HYPERLINK("http://pbs.twimg.com/media/Dbtj4cmXcAIq59Y.jpg", "http://pbs.twimg.com/media/Dbtj4cmXcAIq59Y.jpg")</f>
        <v/>
      </c>
      <c r="G2448" t="s"/>
      <c r="H2448" t="s"/>
      <c r="I2448" t="s"/>
      <c r="J2448" t="n">
        <v>0</v>
      </c>
      <c r="K2448" t="n">
        <v>0</v>
      </c>
      <c r="L2448" t="n">
        <v>1</v>
      </c>
      <c r="M2448" t="n">
        <v>0</v>
      </c>
    </row>
    <row r="2449" spans="1:13">
      <c r="A2449" s="1">
        <f>HYPERLINK("http://www.twitter.com/NathanBLawrence/status/989515465230663680", "989515465230663680")</f>
        <v/>
      </c>
      <c r="B2449" s="2" t="n">
        <v>43216.61394675926</v>
      </c>
      <c r="C2449" t="n">
        <v>0</v>
      </c>
      <c r="D2449" t="n">
        <v>1</v>
      </c>
      <c r="E2449" t="s">
        <v>2455</v>
      </c>
      <c r="F2449" t="s"/>
      <c r="G2449" t="s"/>
      <c r="H2449" t="s"/>
      <c r="I2449" t="s"/>
      <c r="J2449" t="n">
        <v>0</v>
      </c>
      <c r="K2449" t="n">
        <v>0</v>
      </c>
      <c r="L2449" t="n">
        <v>1</v>
      </c>
      <c r="M2449" t="n">
        <v>0</v>
      </c>
    </row>
    <row r="2450" spans="1:13">
      <c r="A2450" s="1">
        <f>HYPERLINK("http://www.twitter.com/NathanBLawrence/status/989515262490636289", "989515262490636289")</f>
        <v/>
      </c>
      <c r="B2450" s="2" t="n">
        <v>43216.6133912037</v>
      </c>
      <c r="C2450" t="n">
        <v>0</v>
      </c>
      <c r="D2450" t="n">
        <v>1303</v>
      </c>
      <c r="E2450" t="s">
        <v>2456</v>
      </c>
      <c r="F2450" t="s"/>
      <c r="G2450" t="s"/>
      <c r="H2450" t="s"/>
      <c r="I2450" t="s"/>
      <c r="J2450" t="n">
        <v>-0.4019</v>
      </c>
      <c r="K2450" t="n">
        <v>0.109</v>
      </c>
      <c r="L2450" t="n">
        <v>0.891</v>
      </c>
      <c r="M2450" t="n">
        <v>0</v>
      </c>
    </row>
    <row r="2451" spans="1:13">
      <c r="A2451" s="1">
        <f>HYPERLINK("http://www.twitter.com/NathanBLawrence/status/989515201287352321", "989515201287352321")</f>
        <v/>
      </c>
      <c r="B2451" s="2" t="n">
        <v>43216.6132175926</v>
      </c>
      <c r="C2451" t="n">
        <v>0</v>
      </c>
      <c r="D2451" t="n">
        <v>4</v>
      </c>
      <c r="E2451" t="s">
        <v>2457</v>
      </c>
      <c r="F2451">
        <f>HYPERLINK("http://pbs.twimg.com/media/DbttyLXV4AAg_aT.jpg", "http://pbs.twimg.com/media/DbttyLXV4AAg_aT.jpg")</f>
        <v/>
      </c>
      <c r="G2451" t="s"/>
      <c r="H2451" t="s"/>
      <c r="I2451" t="s"/>
      <c r="J2451" t="n">
        <v>0.6369</v>
      </c>
      <c r="K2451" t="n">
        <v>0</v>
      </c>
      <c r="L2451" t="n">
        <v>0.488</v>
      </c>
      <c r="M2451" t="n">
        <v>0.512</v>
      </c>
    </row>
    <row r="2452" spans="1:13">
      <c r="A2452" s="1">
        <f>HYPERLINK("http://www.twitter.com/NathanBLawrence/status/989515154307014656", "989515154307014656")</f>
        <v/>
      </c>
      <c r="B2452" s="2" t="n">
        <v>43216.61309027778</v>
      </c>
      <c r="C2452" t="n">
        <v>0</v>
      </c>
      <c r="D2452" t="n">
        <v>101</v>
      </c>
      <c r="E2452" t="s">
        <v>2458</v>
      </c>
      <c r="F2452" t="s"/>
      <c r="G2452" t="s"/>
      <c r="H2452" t="s"/>
      <c r="I2452" t="s"/>
      <c r="J2452" t="n">
        <v>-0.5106000000000001</v>
      </c>
      <c r="K2452" t="n">
        <v>0.148</v>
      </c>
      <c r="L2452" t="n">
        <v>0.852</v>
      </c>
      <c r="M2452" t="n">
        <v>0</v>
      </c>
    </row>
    <row r="2453" spans="1:13">
      <c r="A2453" s="1">
        <f>HYPERLINK("http://www.twitter.com/NathanBLawrence/status/989515033951387648", "989515033951387648")</f>
        <v/>
      </c>
      <c r="B2453" s="2" t="n">
        <v>43216.6127662037</v>
      </c>
      <c r="C2453" t="n">
        <v>0</v>
      </c>
      <c r="D2453" t="n">
        <v>1254</v>
      </c>
      <c r="E2453" t="s">
        <v>2459</v>
      </c>
      <c r="F2453">
        <f>HYPERLINK("http://pbs.twimg.com/media/DbtknsIU8AUuWzj.jpg", "http://pbs.twimg.com/media/DbtknsIU8AUuWzj.jpg")</f>
        <v/>
      </c>
      <c r="G2453" t="s"/>
      <c r="H2453" t="s"/>
      <c r="I2453" t="s"/>
      <c r="J2453" t="n">
        <v>0.8386</v>
      </c>
      <c r="K2453" t="n">
        <v>0</v>
      </c>
      <c r="L2453" t="n">
        <v>0.679</v>
      </c>
      <c r="M2453" t="n">
        <v>0.321</v>
      </c>
    </row>
    <row r="2454" spans="1:13">
      <c r="A2454" s="1">
        <f>HYPERLINK("http://www.twitter.com/NathanBLawrence/status/989514976950808576", "989514976950808576")</f>
        <v/>
      </c>
      <c r="B2454" s="2" t="n">
        <v>43216.61260416666</v>
      </c>
      <c r="C2454" t="n">
        <v>0</v>
      </c>
      <c r="D2454" t="n">
        <v>171</v>
      </c>
      <c r="E2454" t="s">
        <v>2460</v>
      </c>
      <c r="F2454">
        <f>HYPERLINK("http://pbs.twimg.com/media/DbtFujdW4AA4jWr.jpg", "http://pbs.twimg.com/media/DbtFujdW4AA4jWr.jpg")</f>
        <v/>
      </c>
      <c r="G2454" t="s"/>
      <c r="H2454" t="s"/>
      <c r="I2454" t="s"/>
      <c r="J2454" t="n">
        <v>0.7184</v>
      </c>
      <c r="K2454" t="n">
        <v>0</v>
      </c>
      <c r="L2454" t="n">
        <v>0.667</v>
      </c>
      <c r="M2454" t="n">
        <v>0.333</v>
      </c>
    </row>
    <row r="2455" spans="1:13">
      <c r="A2455" s="1">
        <f>HYPERLINK("http://www.twitter.com/NathanBLawrence/status/989514933384593408", "989514933384593408")</f>
        <v/>
      </c>
      <c r="B2455" s="2" t="n">
        <v>43216.61248842593</v>
      </c>
      <c r="C2455" t="n">
        <v>0</v>
      </c>
      <c r="D2455" t="n">
        <v>695</v>
      </c>
      <c r="E2455" t="s">
        <v>2461</v>
      </c>
      <c r="F2455">
        <f>HYPERLINK("http://pbs.twimg.com/media/Dbtl7FZVwAAirIB.jpg", "http://pbs.twimg.com/media/Dbtl7FZVwAAirIB.jpg")</f>
        <v/>
      </c>
      <c r="G2455" t="s"/>
      <c r="H2455" t="s"/>
      <c r="I2455" t="s"/>
      <c r="J2455" t="n">
        <v>0.9792</v>
      </c>
      <c r="K2455" t="n">
        <v>0</v>
      </c>
      <c r="L2455" t="n">
        <v>0.336</v>
      </c>
      <c r="M2455" t="n">
        <v>0.664</v>
      </c>
    </row>
    <row r="2456" spans="1:13">
      <c r="A2456" s="1">
        <f>HYPERLINK("http://www.twitter.com/NathanBLawrence/status/989514894004256768", "989514894004256768")</f>
        <v/>
      </c>
      <c r="B2456" s="2" t="n">
        <v>43216.61237268519</v>
      </c>
      <c r="C2456" t="n">
        <v>0</v>
      </c>
      <c r="D2456" t="n">
        <v>442</v>
      </c>
      <c r="E2456" t="s">
        <v>2462</v>
      </c>
      <c r="F2456">
        <f>HYPERLINK("http://pbs.twimg.com/media/DbtXWKQU8AAD2_q.jpg", "http://pbs.twimg.com/media/DbtXWKQU8AAD2_q.jpg")</f>
        <v/>
      </c>
      <c r="G2456" t="s"/>
      <c r="H2456" t="s"/>
      <c r="I2456" t="s"/>
      <c r="J2456" t="n">
        <v>0.8519</v>
      </c>
      <c r="K2456" t="n">
        <v>0</v>
      </c>
      <c r="L2456" t="n">
        <v>0.671</v>
      </c>
      <c r="M2456" t="n">
        <v>0.329</v>
      </c>
    </row>
    <row r="2457" spans="1:13">
      <c r="A2457" s="1">
        <f>HYPERLINK("http://www.twitter.com/NathanBLawrence/status/989514811867254785", "989514811867254785")</f>
        <v/>
      </c>
      <c r="B2457" s="2" t="n">
        <v>43216.61215277778</v>
      </c>
      <c r="C2457" t="n">
        <v>0</v>
      </c>
      <c r="D2457" t="n">
        <v>217</v>
      </c>
      <c r="E2457" t="s">
        <v>2463</v>
      </c>
      <c r="F2457">
        <f>HYPERLINK("http://pbs.twimg.com/media/DbtTTjoV0AIkj7N.jpg", "http://pbs.twimg.com/media/DbtTTjoV0AIkj7N.jpg")</f>
        <v/>
      </c>
      <c r="G2457">
        <f>HYPERLINK("http://pbs.twimg.com/media/DbtTTjpU0AIEkEr.jpg", "http://pbs.twimg.com/media/DbtTTjpU0AIEkEr.jpg")</f>
        <v/>
      </c>
      <c r="H2457" t="s"/>
      <c r="I2457" t="s"/>
      <c r="J2457" t="n">
        <v>-0.5411</v>
      </c>
      <c r="K2457" t="n">
        <v>0.137</v>
      </c>
      <c r="L2457" t="n">
        <v>0.863</v>
      </c>
      <c r="M2457" t="n">
        <v>0</v>
      </c>
    </row>
    <row r="2458" spans="1:13">
      <c r="A2458" s="1">
        <f>HYPERLINK("http://www.twitter.com/NathanBLawrence/status/989514745173561344", "989514745173561344")</f>
        <v/>
      </c>
      <c r="B2458" s="2" t="n">
        <v>43216.61196759259</v>
      </c>
      <c r="C2458" t="n">
        <v>0</v>
      </c>
      <c r="D2458" t="n">
        <v>661</v>
      </c>
      <c r="E2458" t="s">
        <v>2464</v>
      </c>
      <c r="F2458">
        <f>HYPERLINK("http://pbs.twimg.com/media/DbtUK6hXUAAP5Nk.jpg", "http://pbs.twimg.com/media/DbtUK6hXUAAP5Nk.jpg")</f>
        <v/>
      </c>
      <c r="G2458" t="s"/>
      <c r="H2458" t="s"/>
      <c r="I2458" t="s"/>
      <c r="J2458" t="n">
        <v>0.9087</v>
      </c>
      <c r="K2458" t="n">
        <v>0</v>
      </c>
      <c r="L2458" t="n">
        <v>0.5629999999999999</v>
      </c>
      <c r="M2458" t="n">
        <v>0.437</v>
      </c>
    </row>
    <row r="2459" spans="1:13">
      <c r="A2459" s="1">
        <f>HYPERLINK("http://www.twitter.com/NathanBLawrence/status/989514704136486912", "989514704136486912")</f>
        <v/>
      </c>
      <c r="B2459" s="2" t="n">
        <v>43216.61185185185</v>
      </c>
      <c r="C2459" t="n">
        <v>0</v>
      </c>
      <c r="D2459" t="n">
        <v>821</v>
      </c>
      <c r="E2459" t="s">
        <v>2465</v>
      </c>
      <c r="F2459">
        <f>HYPERLINK("http://pbs.twimg.com/media/DbtSQzUU8AE69en.jpg", "http://pbs.twimg.com/media/DbtSQzUU8AE69en.jpg")</f>
        <v/>
      </c>
      <c r="G2459" t="s"/>
      <c r="H2459" t="s"/>
      <c r="I2459" t="s"/>
      <c r="J2459" t="n">
        <v>0.9617</v>
      </c>
      <c r="K2459" t="n">
        <v>0</v>
      </c>
      <c r="L2459" t="n">
        <v>0.492</v>
      </c>
      <c r="M2459" t="n">
        <v>0.508</v>
      </c>
    </row>
    <row r="2460" spans="1:13">
      <c r="A2460" s="1">
        <f>HYPERLINK("http://www.twitter.com/NathanBLawrence/status/989514654639579136", "989514654639579136")</f>
        <v/>
      </c>
      <c r="B2460" s="2" t="n">
        <v>43216.61171296296</v>
      </c>
      <c r="C2460" t="n">
        <v>1</v>
      </c>
      <c r="D2460" t="n">
        <v>4</v>
      </c>
      <c r="E2460" t="s">
        <v>2466</v>
      </c>
      <c r="F2460" t="s"/>
      <c r="G2460" t="s"/>
      <c r="H2460" t="s"/>
      <c r="I2460" t="s"/>
      <c r="J2460" t="n">
        <v>-0.34</v>
      </c>
      <c r="K2460" t="n">
        <v>0.107</v>
      </c>
      <c r="L2460" t="n">
        <v>0.893</v>
      </c>
      <c r="M2460" t="n">
        <v>0</v>
      </c>
    </row>
    <row r="2461" spans="1:13">
      <c r="A2461" s="1">
        <f>HYPERLINK("http://www.twitter.com/NathanBLawrence/status/989514133618884609", "989514133618884609")</f>
        <v/>
      </c>
      <c r="B2461" s="2" t="n">
        <v>43216.61027777778</v>
      </c>
      <c r="C2461" t="n">
        <v>0</v>
      </c>
      <c r="D2461" t="n">
        <v>40</v>
      </c>
      <c r="E2461" t="s">
        <v>2467</v>
      </c>
      <c r="F2461">
        <f>HYPERLINK("https://video.twimg.com/ext_tw_video/989236865600376832/pu/vid/650x360/BP8GKniaW_K8U5Ml.mp4?tag=3", "https://video.twimg.com/ext_tw_video/989236865600376832/pu/vid/650x360/BP8GKniaW_K8U5Ml.mp4?tag=3")</f>
        <v/>
      </c>
      <c r="G2461" t="s"/>
      <c r="H2461" t="s"/>
      <c r="I2461" t="s"/>
      <c r="J2461" t="n">
        <v>-0.4753</v>
      </c>
      <c r="K2461" t="n">
        <v>0.219</v>
      </c>
      <c r="L2461" t="n">
        <v>0.781</v>
      </c>
      <c r="M2461" t="n">
        <v>0</v>
      </c>
    </row>
    <row r="2462" spans="1:13">
      <c r="A2462" s="1">
        <f>HYPERLINK("http://www.twitter.com/NathanBLawrence/status/989514098571292672", "989514098571292672")</f>
        <v/>
      </c>
      <c r="B2462" s="2" t="n">
        <v>43216.61018518519</v>
      </c>
      <c r="C2462" t="n">
        <v>0</v>
      </c>
      <c r="D2462" t="n">
        <v>797</v>
      </c>
      <c r="E2462" t="s">
        <v>2468</v>
      </c>
      <c r="F2462" t="s"/>
      <c r="G2462" t="s"/>
      <c r="H2462" t="s"/>
      <c r="I2462" t="s"/>
      <c r="J2462" t="n">
        <v>0.2905</v>
      </c>
      <c r="K2462" t="n">
        <v>0</v>
      </c>
      <c r="L2462" t="n">
        <v>0.88</v>
      </c>
      <c r="M2462" t="n">
        <v>0.12</v>
      </c>
    </row>
    <row r="2463" spans="1:13">
      <c r="A2463" s="1">
        <f>HYPERLINK("http://www.twitter.com/NathanBLawrence/status/989514054195531776", "989514054195531776")</f>
        <v/>
      </c>
      <c r="B2463" s="2" t="n">
        <v>43216.61005787037</v>
      </c>
      <c r="C2463" t="n">
        <v>0</v>
      </c>
      <c r="D2463" t="n">
        <v>79</v>
      </c>
      <c r="E2463" t="s">
        <v>2469</v>
      </c>
      <c r="F2463">
        <f>HYPERLINK("http://pbs.twimg.com/media/DbtH3T_XUAAk4NN.jpg", "http://pbs.twimg.com/media/DbtH3T_XUAAk4NN.jpg")</f>
        <v/>
      </c>
      <c r="G2463" t="s"/>
      <c r="H2463" t="s"/>
      <c r="I2463" t="s"/>
      <c r="J2463" t="n">
        <v>0</v>
      </c>
      <c r="K2463" t="n">
        <v>0</v>
      </c>
      <c r="L2463" t="n">
        <v>1</v>
      </c>
      <c r="M2463" t="n">
        <v>0</v>
      </c>
    </row>
    <row r="2464" spans="1:13">
      <c r="A2464" s="1">
        <f>HYPERLINK("http://www.twitter.com/NathanBLawrence/status/989513972205240320", "989513972205240320")</f>
        <v/>
      </c>
      <c r="B2464" s="2" t="n">
        <v>43216.60982638889</v>
      </c>
      <c r="C2464" t="n">
        <v>0</v>
      </c>
      <c r="D2464" t="n">
        <v>1081</v>
      </c>
      <c r="E2464" t="s">
        <v>2470</v>
      </c>
      <c r="F2464">
        <f>HYPERLINK("http://pbs.twimg.com/media/DbtLj_HUwAAGLRO.jpg", "http://pbs.twimg.com/media/DbtLj_HUwAAGLRO.jpg")</f>
        <v/>
      </c>
      <c r="G2464" t="s"/>
      <c r="H2464" t="s"/>
      <c r="I2464" t="s"/>
      <c r="J2464" t="n">
        <v>0.9550999999999999</v>
      </c>
      <c r="K2464" t="n">
        <v>0</v>
      </c>
      <c r="L2464" t="n">
        <v>0.407</v>
      </c>
      <c r="M2464" t="n">
        <v>0.593</v>
      </c>
    </row>
    <row r="2465" spans="1:13">
      <c r="A2465" s="1">
        <f>HYPERLINK("http://www.twitter.com/NathanBLawrence/status/989513903016108032", "989513903016108032")</f>
        <v/>
      </c>
      <c r="B2465" s="2" t="n">
        <v>43216.6096412037</v>
      </c>
      <c r="C2465" t="n">
        <v>1</v>
      </c>
      <c r="D2465" t="n">
        <v>2</v>
      </c>
      <c r="E2465" t="s">
        <v>2471</v>
      </c>
      <c r="F2465" t="s"/>
      <c r="G2465" t="s"/>
      <c r="H2465" t="s"/>
      <c r="I2465" t="s"/>
      <c r="J2465" t="n">
        <v>0.2924</v>
      </c>
      <c r="K2465" t="n">
        <v>0</v>
      </c>
      <c r="L2465" t="n">
        <v>0.733</v>
      </c>
      <c r="M2465" t="n">
        <v>0.267</v>
      </c>
    </row>
    <row r="2466" spans="1:13">
      <c r="A2466" s="1">
        <f>HYPERLINK("http://www.twitter.com/NathanBLawrence/status/989513178911395840", "989513178911395840")</f>
        <v/>
      </c>
      <c r="B2466" s="2" t="n">
        <v>43216.60763888889</v>
      </c>
      <c r="C2466" t="n">
        <v>0</v>
      </c>
      <c r="D2466" t="n">
        <v>301</v>
      </c>
      <c r="E2466" t="s">
        <v>2472</v>
      </c>
      <c r="F2466" t="s"/>
      <c r="G2466" t="s"/>
      <c r="H2466" t="s"/>
      <c r="I2466" t="s"/>
      <c r="J2466" t="n">
        <v>0.3818</v>
      </c>
      <c r="K2466" t="n">
        <v>0.132</v>
      </c>
      <c r="L2466" t="n">
        <v>0.613</v>
      </c>
      <c r="M2466" t="n">
        <v>0.255</v>
      </c>
    </row>
    <row r="2467" spans="1:13">
      <c r="A2467" s="1">
        <f>HYPERLINK("http://www.twitter.com/NathanBLawrence/status/989512993363836928", "989512993363836928")</f>
        <v/>
      </c>
      <c r="B2467" s="2" t="n">
        <v>43216.60712962963</v>
      </c>
      <c r="C2467" t="n">
        <v>1</v>
      </c>
      <c r="D2467" t="n">
        <v>0</v>
      </c>
      <c r="E2467" t="s">
        <v>2473</v>
      </c>
      <c r="F2467" t="s"/>
      <c r="G2467" t="s"/>
      <c r="H2467" t="s"/>
      <c r="I2467" t="s"/>
      <c r="J2467" t="n">
        <v>-0.2732</v>
      </c>
      <c r="K2467" t="n">
        <v>0.091</v>
      </c>
      <c r="L2467" t="n">
        <v>0.909</v>
      </c>
      <c r="M2467" t="n">
        <v>0</v>
      </c>
    </row>
    <row r="2468" spans="1:13">
      <c r="A2468" s="1">
        <f>HYPERLINK("http://www.twitter.com/NathanBLawrence/status/989512158978326528", "989512158978326528")</f>
        <v/>
      </c>
      <c r="B2468" s="2" t="n">
        <v>43216.60482638889</v>
      </c>
      <c r="C2468" t="n">
        <v>0</v>
      </c>
      <c r="D2468" t="n">
        <v>668</v>
      </c>
      <c r="E2468" t="s">
        <v>2474</v>
      </c>
      <c r="F2468">
        <f>HYPERLINK("http://pbs.twimg.com/media/DbtWN8NXcAEuthF.jpg", "http://pbs.twimg.com/media/DbtWN8NXcAEuthF.jpg")</f>
        <v/>
      </c>
      <c r="G2468" t="s"/>
      <c r="H2468" t="s"/>
      <c r="I2468" t="s"/>
      <c r="J2468" t="n">
        <v>0</v>
      </c>
      <c r="K2468" t="n">
        <v>0</v>
      </c>
      <c r="L2468" t="n">
        <v>1</v>
      </c>
      <c r="M2468" t="n">
        <v>0</v>
      </c>
    </row>
    <row r="2469" spans="1:13">
      <c r="A2469" s="1">
        <f>HYPERLINK("http://www.twitter.com/NathanBLawrence/status/989511848394289152", "989511848394289152")</f>
        <v/>
      </c>
      <c r="B2469" s="2" t="n">
        <v>43216.60396990741</v>
      </c>
      <c r="C2469" t="n">
        <v>0</v>
      </c>
      <c r="D2469" t="n">
        <v>49</v>
      </c>
      <c r="E2469" t="s">
        <v>2475</v>
      </c>
      <c r="F2469" t="s"/>
      <c r="G2469" t="s"/>
      <c r="H2469" t="s"/>
      <c r="I2469" t="s"/>
      <c r="J2469" t="n">
        <v>0</v>
      </c>
      <c r="K2469" t="n">
        <v>0</v>
      </c>
      <c r="L2469" t="n">
        <v>1</v>
      </c>
      <c r="M2469" t="n">
        <v>0</v>
      </c>
    </row>
    <row r="2470" spans="1:13">
      <c r="A2470" s="1">
        <f>HYPERLINK("http://www.twitter.com/NathanBLawrence/status/989511690176811009", "989511690176811009")</f>
        <v/>
      </c>
      <c r="B2470" s="2" t="n">
        <v>43216.60353009259</v>
      </c>
      <c r="C2470" t="n">
        <v>0</v>
      </c>
      <c r="D2470" t="n">
        <v>2503</v>
      </c>
      <c r="E2470" t="s">
        <v>2476</v>
      </c>
      <c r="F2470" t="s"/>
      <c r="G2470" t="s"/>
      <c r="H2470" t="s"/>
      <c r="I2470" t="s"/>
      <c r="J2470" t="n">
        <v>-0.4767</v>
      </c>
      <c r="K2470" t="n">
        <v>0.2</v>
      </c>
      <c r="L2470" t="n">
        <v>0.717</v>
      </c>
      <c r="M2470" t="n">
        <v>0.083</v>
      </c>
    </row>
    <row r="2471" spans="1:13">
      <c r="A2471" s="1">
        <f>HYPERLINK("http://www.twitter.com/NathanBLawrence/status/989511596329218049", "989511596329218049")</f>
        <v/>
      </c>
      <c r="B2471" s="2" t="n">
        <v>43216.60327546296</v>
      </c>
      <c r="C2471" t="n">
        <v>0</v>
      </c>
      <c r="D2471" t="n">
        <v>1244</v>
      </c>
      <c r="E2471" t="s">
        <v>2477</v>
      </c>
      <c r="F2471">
        <f>HYPERLINK("http://pbs.twimg.com/media/DbtjW4KV4AIHSQF.jpg", "http://pbs.twimg.com/media/DbtjW4KV4AIHSQF.jpg")</f>
        <v/>
      </c>
      <c r="G2471">
        <f>HYPERLINK("http://pbs.twimg.com/media/DbtjXClUwAAn9c8.jpg", "http://pbs.twimg.com/media/DbtjXClUwAAn9c8.jpg")</f>
        <v/>
      </c>
      <c r="H2471" t="s"/>
      <c r="I2471" t="s"/>
      <c r="J2471" t="n">
        <v>0</v>
      </c>
      <c r="K2471" t="n">
        <v>0</v>
      </c>
      <c r="L2471" t="n">
        <v>1</v>
      </c>
      <c r="M2471" t="n">
        <v>0</v>
      </c>
    </row>
    <row r="2472" spans="1:13">
      <c r="A2472" s="1">
        <f>HYPERLINK("http://www.twitter.com/NathanBLawrence/status/989511533175754752", "989511533175754752")</f>
        <v/>
      </c>
      <c r="B2472" s="2" t="n">
        <v>43216.60310185186</v>
      </c>
      <c r="C2472" t="n">
        <v>0</v>
      </c>
      <c r="D2472" t="n">
        <v>1981</v>
      </c>
      <c r="E2472" t="s">
        <v>2478</v>
      </c>
      <c r="F2472" t="s"/>
      <c r="G2472" t="s"/>
      <c r="H2472" t="s"/>
      <c r="I2472" t="s"/>
      <c r="J2472" t="n">
        <v>0.8316</v>
      </c>
      <c r="K2472" t="n">
        <v>0</v>
      </c>
      <c r="L2472" t="n">
        <v>0.672</v>
      </c>
      <c r="M2472" t="n">
        <v>0.328</v>
      </c>
    </row>
    <row r="2473" spans="1:13">
      <c r="A2473" s="1">
        <f>HYPERLINK("http://www.twitter.com/NathanBLawrence/status/989511455597707264", "989511455597707264")</f>
        <v/>
      </c>
      <c r="B2473" s="2" t="n">
        <v>43216.60288194445</v>
      </c>
      <c r="C2473" t="n">
        <v>0</v>
      </c>
      <c r="D2473" t="n">
        <v>3</v>
      </c>
      <c r="E2473" t="s">
        <v>2479</v>
      </c>
      <c r="F2473" t="s"/>
      <c r="G2473" t="s"/>
      <c r="H2473" t="s"/>
      <c r="I2473" t="s"/>
      <c r="J2473" t="n">
        <v>-0.5667</v>
      </c>
      <c r="K2473" t="n">
        <v>0.175</v>
      </c>
      <c r="L2473" t="n">
        <v>0.825</v>
      </c>
      <c r="M2473" t="n">
        <v>0</v>
      </c>
    </row>
    <row r="2474" spans="1:13">
      <c r="A2474" s="1">
        <f>HYPERLINK("http://www.twitter.com/NathanBLawrence/status/989511365285957632", "989511365285957632")</f>
        <v/>
      </c>
      <c r="B2474" s="2" t="n">
        <v>43216.60263888889</v>
      </c>
      <c r="C2474" t="n">
        <v>0</v>
      </c>
      <c r="D2474" t="n">
        <v>260</v>
      </c>
      <c r="E2474" t="s">
        <v>2480</v>
      </c>
      <c r="F2474">
        <f>HYPERLINK("http://pbs.twimg.com/media/DbtcEa8WsAE9sx0.jpg", "http://pbs.twimg.com/media/DbtcEa8WsAE9sx0.jpg")</f>
        <v/>
      </c>
      <c r="G2474" t="s"/>
      <c r="H2474" t="s"/>
      <c r="I2474" t="s"/>
      <c r="J2474" t="n">
        <v>0</v>
      </c>
      <c r="K2474" t="n">
        <v>0</v>
      </c>
      <c r="L2474" t="n">
        <v>1</v>
      </c>
      <c r="M2474" t="n">
        <v>0</v>
      </c>
    </row>
    <row r="2475" spans="1:13">
      <c r="A2475" s="1">
        <f>HYPERLINK("http://www.twitter.com/NathanBLawrence/status/989511214983102465", "989511214983102465")</f>
        <v/>
      </c>
      <c r="B2475" s="2" t="n">
        <v>43216.60222222222</v>
      </c>
      <c r="C2475" t="n">
        <v>0</v>
      </c>
      <c r="D2475" t="n">
        <v>926</v>
      </c>
      <c r="E2475" t="s">
        <v>2481</v>
      </c>
      <c r="F2475">
        <f>HYPERLINK("http://pbs.twimg.com/media/Dbs-S0mVAAE76x8.jpg", "http://pbs.twimg.com/media/Dbs-S0mVAAE76x8.jpg")</f>
        <v/>
      </c>
      <c r="G2475" t="s"/>
      <c r="H2475" t="s"/>
      <c r="I2475" t="s"/>
      <c r="J2475" t="n">
        <v>0.8625</v>
      </c>
      <c r="K2475" t="n">
        <v>0</v>
      </c>
      <c r="L2475" t="n">
        <v>0.61</v>
      </c>
      <c r="M2475" t="n">
        <v>0.39</v>
      </c>
    </row>
    <row r="2476" spans="1:13">
      <c r="A2476" s="1">
        <f>HYPERLINK("http://www.twitter.com/NathanBLawrence/status/989511185379688448", "989511185379688448")</f>
        <v/>
      </c>
      <c r="B2476" s="2" t="n">
        <v>43216.6021412037</v>
      </c>
      <c r="C2476" t="n">
        <v>0</v>
      </c>
      <c r="D2476" t="n">
        <v>238</v>
      </c>
      <c r="E2476" t="s">
        <v>2482</v>
      </c>
      <c r="F2476">
        <f>HYPERLINK("http://pbs.twimg.com/media/DbtfU8bU8AA40Kq.jpg", "http://pbs.twimg.com/media/DbtfU8bU8AA40Kq.jpg")</f>
        <v/>
      </c>
      <c r="G2476" t="s"/>
      <c r="H2476" t="s"/>
      <c r="I2476" t="s"/>
      <c r="J2476" t="n">
        <v>0.412</v>
      </c>
      <c r="K2476" t="n">
        <v>0.11</v>
      </c>
      <c r="L2476" t="n">
        <v>0.676</v>
      </c>
      <c r="M2476" t="n">
        <v>0.214</v>
      </c>
    </row>
    <row r="2477" spans="1:13">
      <c r="A2477" s="1">
        <f>HYPERLINK("http://www.twitter.com/NathanBLawrence/status/989510957838684160", "989510957838684160")</f>
        <v/>
      </c>
      <c r="B2477" s="2" t="n">
        <v>43216.6015162037</v>
      </c>
      <c r="C2477" t="n">
        <v>0</v>
      </c>
      <c r="D2477" t="n">
        <v>4043</v>
      </c>
      <c r="E2477" t="s">
        <v>2483</v>
      </c>
      <c r="F2477" t="s"/>
      <c r="G2477" t="s"/>
      <c r="H2477" t="s"/>
      <c r="I2477" t="s"/>
      <c r="J2477" t="n">
        <v>-0.3979</v>
      </c>
      <c r="K2477" t="n">
        <v>0.2</v>
      </c>
      <c r="L2477" t="n">
        <v>0.727</v>
      </c>
      <c r="M2477" t="n">
        <v>0.073</v>
      </c>
    </row>
    <row r="2478" spans="1:13">
      <c r="A2478" s="1">
        <f>HYPERLINK("http://www.twitter.com/NathanBLawrence/status/989510868030316548", "989510868030316548")</f>
        <v/>
      </c>
      <c r="B2478" s="2" t="n">
        <v>43216.60126157408</v>
      </c>
      <c r="C2478" t="n">
        <v>0</v>
      </c>
      <c r="D2478" t="n">
        <v>2313</v>
      </c>
      <c r="E2478" t="s">
        <v>2484</v>
      </c>
      <c r="F2478">
        <f>HYPERLINK("http://pbs.twimg.com/media/DbtVkaMVMAAw6Y4.jpg", "http://pbs.twimg.com/media/DbtVkaMVMAAw6Y4.jpg")</f>
        <v/>
      </c>
      <c r="G2478" t="s"/>
      <c r="H2478" t="s"/>
      <c r="I2478" t="s"/>
      <c r="J2478" t="n">
        <v>0.8126</v>
      </c>
      <c r="K2478" t="n">
        <v>0</v>
      </c>
      <c r="L2478" t="n">
        <v>0.73</v>
      </c>
      <c r="M2478" t="n">
        <v>0.27</v>
      </c>
    </row>
    <row r="2479" spans="1:13">
      <c r="A2479" s="1">
        <f>HYPERLINK("http://www.twitter.com/NathanBLawrence/status/989509826207039489", "989509826207039489")</f>
        <v/>
      </c>
      <c r="B2479" s="2" t="n">
        <v>43216.5983912037</v>
      </c>
      <c r="C2479" t="n">
        <v>0</v>
      </c>
      <c r="D2479" t="n">
        <v>232</v>
      </c>
      <c r="E2479" t="s">
        <v>2485</v>
      </c>
      <c r="F2479" t="s"/>
      <c r="G2479" t="s"/>
      <c r="H2479" t="s"/>
      <c r="I2479" t="s"/>
      <c r="J2479" t="n">
        <v>0.4939</v>
      </c>
      <c r="K2479" t="n">
        <v>0</v>
      </c>
      <c r="L2479" t="n">
        <v>0.849</v>
      </c>
      <c r="M2479" t="n">
        <v>0.151</v>
      </c>
    </row>
    <row r="2480" spans="1:13">
      <c r="A2480" s="1">
        <f>HYPERLINK("http://www.twitter.com/NathanBLawrence/status/989509282721812481", "989509282721812481")</f>
        <v/>
      </c>
      <c r="B2480" s="2" t="n">
        <v>43216.59688657407</v>
      </c>
      <c r="C2480" t="n">
        <v>0</v>
      </c>
      <c r="D2480" t="n">
        <v>512</v>
      </c>
      <c r="E2480" t="s">
        <v>2486</v>
      </c>
      <c r="F2480">
        <f>HYPERLINK("http://pbs.twimg.com/media/DbsvflBVMAEzd6E.jpg", "http://pbs.twimg.com/media/DbsvflBVMAEzd6E.jpg")</f>
        <v/>
      </c>
      <c r="G2480" t="s"/>
      <c r="H2480" t="s"/>
      <c r="I2480" t="s"/>
      <c r="J2480" t="n">
        <v>0.8074</v>
      </c>
      <c r="K2480" t="n">
        <v>0</v>
      </c>
      <c r="L2480" t="n">
        <v>0.658</v>
      </c>
      <c r="M2480" t="n">
        <v>0.342</v>
      </c>
    </row>
    <row r="2481" spans="1:13">
      <c r="A2481" s="1">
        <f>HYPERLINK("http://www.twitter.com/NathanBLawrence/status/989509165855883264", "989509165855883264")</f>
        <v/>
      </c>
      <c r="B2481" s="2" t="n">
        <v>43216.5965625</v>
      </c>
      <c r="C2481" t="n">
        <v>0</v>
      </c>
      <c r="D2481" t="n">
        <v>1924</v>
      </c>
      <c r="E2481" t="s">
        <v>2487</v>
      </c>
      <c r="F2481" t="s"/>
      <c r="G2481" t="s"/>
      <c r="H2481" t="s"/>
      <c r="I2481" t="s"/>
      <c r="J2481" t="n">
        <v>-0.4588</v>
      </c>
      <c r="K2481" t="n">
        <v>0.242</v>
      </c>
      <c r="L2481" t="n">
        <v>0.619</v>
      </c>
      <c r="M2481" t="n">
        <v>0.139</v>
      </c>
    </row>
    <row r="2482" spans="1:13">
      <c r="A2482" s="1">
        <f>HYPERLINK("http://www.twitter.com/NathanBLawrence/status/989509121392001025", "989509121392001025")</f>
        <v/>
      </c>
      <c r="B2482" s="2" t="n">
        <v>43216.59644675926</v>
      </c>
      <c r="C2482" t="n">
        <v>0</v>
      </c>
      <c r="D2482" t="n">
        <v>476</v>
      </c>
      <c r="E2482" t="s">
        <v>2488</v>
      </c>
      <c r="F2482">
        <f>HYPERLINK("http://pbs.twimg.com/media/DbtD-6XWsAAPpmS.jpg", "http://pbs.twimg.com/media/DbtD-6XWsAAPpmS.jpg")</f>
        <v/>
      </c>
      <c r="G2482" t="s"/>
      <c r="H2482" t="s"/>
      <c r="I2482" t="s"/>
      <c r="J2482" t="n">
        <v>0</v>
      </c>
      <c r="K2482" t="n">
        <v>0</v>
      </c>
      <c r="L2482" t="n">
        <v>1</v>
      </c>
      <c r="M2482" t="n">
        <v>0</v>
      </c>
    </row>
    <row r="2483" spans="1:13">
      <c r="A2483" s="1">
        <f>HYPERLINK("http://www.twitter.com/NathanBLawrence/status/989509060998217728", "989509060998217728")</f>
        <v/>
      </c>
      <c r="B2483" s="2" t="n">
        <v>43216.59627314815</v>
      </c>
      <c r="C2483" t="n">
        <v>0</v>
      </c>
      <c r="D2483" t="n">
        <v>390</v>
      </c>
      <c r="E2483" t="s">
        <v>2489</v>
      </c>
      <c r="F2483">
        <f>HYPERLINK("http://pbs.twimg.com/media/DbtPDypXcAAGeUy.jpg", "http://pbs.twimg.com/media/DbtPDypXcAAGeUy.jpg")</f>
        <v/>
      </c>
      <c r="G2483">
        <f>HYPERLINK("http://pbs.twimg.com/media/DbtPDyrWAAAWs0S.jpg", "http://pbs.twimg.com/media/DbtPDyrWAAAWs0S.jpg")</f>
        <v/>
      </c>
      <c r="H2483" t="s"/>
      <c r="I2483" t="s"/>
      <c r="J2483" t="n">
        <v>0.3802</v>
      </c>
      <c r="K2483" t="n">
        <v>0</v>
      </c>
      <c r="L2483" t="n">
        <v>0.607</v>
      </c>
      <c r="M2483" t="n">
        <v>0.393</v>
      </c>
    </row>
    <row r="2484" spans="1:13">
      <c r="A2484" s="1">
        <f>HYPERLINK("http://www.twitter.com/NathanBLawrence/status/989508939732561920", "989508939732561920")</f>
        <v/>
      </c>
      <c r="B2484" s="2" t="n">
        <v>43216.59594907407</v>
      </c>
      <c r="C2484" t="n">
        <v>12</v>
      </c>
      <c r="D2484" t="n">
        <v>11</v>
      </c>
      <c r="E2484" t="s">
        <v>2490</v>
      </c>
      <c r="F2484" t="s"/>
      <c r="G2484" t="s"/>
      <c r="H2484" t="s"/>
      <c r="I2484" t="s"/>
      <c r="J2484" t="n">
        <v>0.2263</v>
      </c>
      <c r="K2484" t="n">
        <v>0</v>
      </c>
      <c r="L2484" t="n">
        <v>0.905</v>
      </c>
      <c r="M2484" t="n">
        <v>0.095</v>
      </c>
    </row>
    <row r="2485" spans="1:13">
      <c r="A2485" s="1">
        <f>HYPERLINK("http://www.twitter.com/NathanBLawrence/status/989508323148890112", "989508323148890112")</f>
        <v/>
      </c>
      <c r="B2485" s="2" t="n">
        <v>43216.59424768519</v>
      </c>
      <c r="C2485" t="n">
        <v>0</v>
      </c>
      <c r="D2485" t="n">
        <v>1020</v>
      </c>
      <c r="E2485" t="s">
        <v>2491</v>
      </c>
      <c r="F2485">
        <f>HYPERLINK("http://pbs.twimg.com/media/Dbtc_baUQAAdJA5.jpg", "http://pbs.twimg.com/media/Dbtc_baUQAAdJA5.jpg")</f>
        <v/>
      </c>
      <c r="G2485">
        <f>HYPERLINK("http://pbs.twimg.com/media/Dbtc_bhVAAAZYRD.jpg", "http://pbs.twimg.com/media/Dbtc_bhVAAAZYRD.jpg")</f>
        <v/>
      </c>
      <c r="H2485" t="s"/>
      <c r="I2485" t="s"/>
      <c r="J2485" t="n">
        <v>-0.8374</v>
      </c>
      <c r="K2485" t="n">
        <v>0.284</v>
      </c>
      <c r="L2485" t="n">
        <v>0.716</v>
      </c>
      <c r="M2485" t="n">
        <v>0</v>
      </c>
    </row>
    <row r="2486" spans="1:13">
      <c r="A2486" s="1">
        <f>HYPERLINK("http://www.twitter.com/NathanBLawrence/status/989508231968931840", "989508231968931840")</f>
        <v/>
      </c>
      <c r="B2486" s="2" t="n">
        <v>43216.59399305555</v>
      </c>
      <c r="C2486" t="n">
        <v>0</v>
      </c>
      <c r="D2486" t="n">
        <v>433</v>
      </c>
      <c r="E2486" t="s">
        <v>2492</v>
      </c>
      <c r="F2486">
        <f>HYPERLINK("http://pbs.twimg.com/media/DbtJnS3W0AE5Zeg.jpg", "http://pbs.twimg.com/media/DbtJnS3W0AE5Zeg.jpg")</f>
        <v/>
      </c>
      <c r="G2486" t="s"/>
      <c r="H2486" t="s"/>
      <c r="I2486" t="s"/>
      <c r="J2486" t="n">
        <v>0.9438</v>
      </c>
      <c r="K2486" t="n">
        <v>0</v>
      </c>
      <c r="L2486" t="n">
        <v>0.545</v>
      </c>
      <c r="M2486" t="n">
        <v>0.455</v>
      </c>
    </row>
    <row r="2487" spans="1:13">
      <c r="A2487" s="1">
        <f>HYPERLINK("http://www.twitter.com/NathanBLawrence/status/989508119460921344", "989508119460921344")</f>
        <v/>
      </c>
      <c r="B2487" s="2" t="n">
        <v>43216.59368055555</v>
      </c>
      <c r="C2487" t="n">
        <v>0</v>
      </c>
      <c r="D2487" t="n">
        <v>130</v>
      </c>
      <c r="E2487" t="s">
        <v>2493</v>
      </c>
      <c r="F2487">
        <f>HYPERLINK("http://pbs.twimg.com/media/DbsmwxjVQAATmlD.jpg", "http://pbs.twimg.com/media/DbsmwxjVQAATmlD.jpg")</f>
        <v/>
      </c>
      <c r="G2487" t="s"/>
      <c r="H2487" t="s"/>
      <c r="I2487" t="s"/>
      <c r="J2487" t="n">
        <v>0.9461000000000001</v>
      </c>
      <c r="K2487" t="n">
        <v>0</v>
      </c>
      <c r="L2487" t="n">
        <v>0.459</v>
      </c>
      <c r="M2487" t="n">
        <v>0.541</v>
      </c>
    </row>
    <row r="2488" spans="1:13">
      <c r="A2488" s="1">
        <f>HYPERLINK("http://www.twitter.com/NathanBLawrence/status/989507984639180800", "989507984639180800")</f>
        <v/>
      </c>
      <c r="B2488" s="2" t="n">
        <v>43216.59331018518</v>
      </c>
      <c r="C2488" t="n">
        <v>0</v>
      </c>
      <c r="D2488" t="n">
        <v>16602</v>
      </c>
      <c r="E2488" t="s">
        <v>2494</v>
      </c>
      <c r="F2488" t="s"/>
      <c r="G2488" t="s"/>
      <c r="H2488" t="s"/>
      <c r="I2488" t="s"/>
      <c r="J2488" t="n">
        <v>0.0772</v>
      </c>
      <c r="K2488" t="n">
        <v>0</v>
      </c>
      <c r="L2488" t="n">
        <v>0.92</v>
      </c>
      <c r="M2488" t="n">
        <v>0.08</v>
      </c>
    </row>
    <row r="2489" spans="1:13">
      <c r="A2489" s="1">
        <f>HYPERLINK("http://www.twitter.com/NathanBLawrence/status/989507103910871041", "989507103910871041")</f>
        <v/>
      </c>
      <c r="B2489" s="2" t="n">
        <v>43216.59087962963</v>
      </c>
      <c r="C2489" t="n">
        <v>0</v>
      </c>
      <c r="D2489" t="n">
        <v>4047</v>
      </c>
      <c r="E2489" t="s">
        <v>2495</v>
      </c>
      <c r="F2489" t="s"/>
      <c r="G2489" t="s"/>
      <c r="H2489" t="s"/>
      <c r="I2489" t="s"/>
      <c r="J2489" t="n">
        <v>0.872</v>
      </c>
      <c r="K2489" t="n">
        <v>0</v>
      </c>
      <c r="L2489" t="n">
        <v>0.609</v>
      </c>
      <c r="M2489" t="n">
        <v>0.391</v>
      </c>
    </row>
    <row r="2490" spans="1:13">
      <c r="A2490" s="1">
        <f>HYPERLINK("http://www.twitter.com/NathanBLawrence/status/989506867725352960", "989506867725352960")</f>
        <v/>
      </c>
      <c r="B2490" s="2" t="n">
        <v>43216.59023148148</v>
      </c>
      <c r="C2490" t="n">
        <v>0</v>
      </c>
      <c r="D2490" t="n">
        <v>69</v>
      </c>
      <c r="E2490" t="s">
        <v>2496</v>
      </c>
      <c r="F2490">
        <f>HYPERLINK("http://pbs.twimg.com/media/DbtpvFxVwAUcExK.jpg", "http://pbs.twimg.com/media/DbtpvFxVwAUcExK.jpg")</f>
        <v/>
      </c>
      <c r="G2490" t="s"/>
      <c r="H2490" t="s"/>
      <c r="I2490" t="s"/>
      <c r="J2490" t="n">
        <v>0.2732</v>
      </c>
      <c r="K2490" t="n">
        <v>0</v>
      </c>
      <c r="L2490" t="n">
        <v>0.792</v>
      </c>
      <c r="M2490" t="n">
        <v>0.208</v>
      </c>
    </row>
    <row r="2491" spans="1:13">
      <c r="A2491" s="1">
        <f>HYPERLINK("http://www.twitter.com/NathanBLawrence/status/989506815036604422", "989506815036604422")</f>
        <v/>
      </c>
      <c r="B2491" s="2" t="n">
        <v>43216.59008101852</v>
      </c>
      <c r="C2491" t="n">
        <v>0</v>
      </c>
      <c r="D2491" t="n">
        <v>824</v>
      </c>
      <c r="E2491" t="s">
        <v>2497</v>
      </c>
      <c r="F2491" t="s"/>
      <c r="G2491" t="s"/>
      <c r="H2491" t="s"/>
      <c r="I2491" t="s"/>
      <c r="J2491" t="n">
        <v>-0.3818</v>
      </c>
      <c r="K2491" t="n">
        <v>0.167</v>
      </c>
      <c r="L2491" t="n">
        <v>0.833</v>
      </c>
      <c r="M2491" t="n">
        <v>0</v>
      </c>
    </row>
    <row r="2492" spans="1:13">
      <c r="A2492" s="1">
        <f>HYPERLINK("http://www.twitter.com/NathanBLawrence/status/989506775782014977", "989506775782014977")</f>
        <v/>
      </c>
      <c r="B2492" s="2" t="n">
        <v>43216.58997685185</v>
      </c>
      <c r="C2492" t="n">
        <v>0</v>
      </c>
      <c r="D2492" t="n">
        <v>338</v>
      </c>
      <c r="E2492" t="s">
        <v>2498</v>
      </c>
      <c r="F2492">
        <f>HYPERLINK("http://pbs.twimg.com/media/DbtP69MU8AEVqri.jpg", "http://pbs.twimg.com/media/DbtP69MU8AEVqri.jpg")</f>
        <v/>
      </c>
      <c r="G2492" t="s"/>
      <c r="H2492" t="s"/>
      <c r="I2492" t="s"/>
      <c r="J2492" t="n">
        <v>0.877</v>
      </c>
      <c r="K2492" t="n">
        <v>0</v>
      </c>
      <c r="L2492" t="n">
        <v>0.665</v>
      </c>
      <c r="M2492" t="n">
        <v>0.335</v>
      </c>
    </row>
    <row r="2493" spans="1:13">
      <c r="A2493" s="1">
        <f>HYPERLINK("http://www.twitter.com/NathanBLawrence/status/989506620806676480", "989506620806676480")</f>
        <v/>
      </c>
      <c r="B2493" s="2" t="n">
        <v>43216.58954861111</v>
      </c>
      <c r="C2493" t="n">
        <v>0</v>
      </c>
      <c r="D2493" t="n">
        <v>4811</v>
      </c>
      <c r="E2493" t="s">
        <v>2499</v>
      </c>
      <c r="F2493">
        <f>HYPERLINK("http://pbs.twimg.com/media/DbtSwcwV4AAHS4j.jpg", "http://pbs.twimg.com/media/DbtSwcwV4AAHS4j.jpg")</f>
        <v/>
      </c>
      <c r="G2493" t="s"/>
      <c r="H2493" t="s"/>
      <c r="I2493" t="s"/>
      <c r="J2493" t="n">
        <v>0.9493</v>
      </c>
      <c r="K2493" t="n">
        <v>0</v>
      </c>
      <c r="L2493" t="n">
        <v>0.534</v>
      </c>
      <c r="M2493" t="n">
        <v>0.466</v>
      </c>
    </row>
    <row r="2494" spans="1:13">
      <c r="A2494" s="1">
        <f>HYPERLINK("http://www.twitter.com/NathanBLawrence/status/989506526812389376", "989506526812389376")</f>
        <v/>
      </c>
      <c r="B2494" s="2" t="n">
        <v>43216.58928240741</v>
      </c>
      <c r="C2494" t="n">
        <v>0</v>
      </c>
      <c r="D2494" t="n">
        <v>1270</v>
      </c>
      <c r="E2494" t="s">
        <v>2500</v>
      </c>
      <c r="F2494" t="s"/>
      <c r="G2494" t="s"/>
      <c r="H2494" t="s"/>
      <c r="I2494" t="s"/>
      <c r="J2494" t="n">
        <v>0</v>
      </c>
      <c r="K2494" t="n">
        <v>0</v>
      </c>
      <c r="L2494" t="n">
        <v>1</v>
      </c>
      <c r="M2494" t="n">
        <v>0</v>
      </c>
    </row>
    <row r="2495" spans="1:13">
      <c r="A2495" s="1">
        <f>HYPERLINK("http://www.twitter.com/NathanBLawrence/status/989506481123872768", "989506481123872768")</f>
        <v/>
      </c>
      <c r="B2495" s="2" t="n">
        <v>43216.5891550926</v>
      </c>
      <c r="C2495" t="n">
        <v>0</v>
      </c>
      <c r="D2495" t="n">
        <v>1852</v>
      </c>
      <c r="E2495" t="s">
        <v>2501</v>
      </c>
      <c r="F2495">
        <f>HYPERLINK("http://pbs.twimg.com/media/DbtXuCvV4AA1K0U.jpg", "http://pbs.twimg.com/media/DbtXuCvV4AA1K0U.jpg")</f>
        <v/>
      </c>
      <c r="G2495">
        <f>HYPERLINK("http://pbs.twimg.com/media/DbtXuCsV0AAlrNy.jpg", "http://pbs.twimg.com/media/DbtXuCsV0AAlrNy.jpg")</f>
        <v/>
      </c>
      <c r="H2495" t="s"/>
      <c r="I2495" t="s"/>
      <c r="J2495" t="n">
        <v>0.5848</v>
      </c>
      <c r="K2495" t="n">
        <v>0</v>
      </c>
      <c r="L2495" t="n">
        <v>0.787</v>
      </c>
      <c r="M2495" t="n">
        <v>0.213</v>
      </c>
    </row>
    <row r="2496" spans="1:13">
      <c r="A2496" s="1">
        <f>HYPERLINK("http://www.twitter.com/NathanBLawrence/status/989506428388892673", "989506428388892673")</f>
        <v/>
      </c>
      <c r="B2496" s="2" t="n">
        <v>43216.5890162037</v>
      </c>
      <c r="C2496" t="n">
        <v>1</v>
      </c>
      <c r="D2496" t="n">
        <v>0</v>
      </c>
      <c r="E2496" t="s">
        <v>2502</v>
      </c>
      <c r="F2496" t="s"/>
      <c r="G2496" t="s"/>
      <c r="H2496" t="s"/>
      <c r="I2496" t="s"/>
      <c r="J2496" t="n">
        <v>0.7574</v>
      </c>
      <c r="K2496" t="n">
        <v>0</v>
      </c>
      <c r="L2496" t="n">
        <v>0.552</v>
      </c>
      <c r="M2496" t="n">
        <v>0.448</v>
      </c>
    </row>
    <row r="2497" spans="1:13">
      <c r="A2497" s="1">
        <f>HYPERLINK("http://www.twitter.com/NathanBLawrence/status/989380537457364992", "989380537457364992")</f>
        <v/>
      </c>
      <c r="B2497" s="2" t="n">
        <v>43216.24162037037</v>
      </c>
      <c r="C2497" t="n">
        <v>0</v>
      </c>
      <c r="D2497" t="n">
        <v>9</v>
      </c>
      <c r="E2497" t="s">
        <v>2503</v>
      </c>
      <c r="F2497" t="s"/>
      <c r="G2497" t="s"/>
      <c r="H2497" t="s"/>
      <c r="I2497" t="s"/>
      <c r="J2497" t="n">
        <v>-0.7088</v>
      </c>
      <c r="K2497" t="n">
        <v>0.219</v>
      </c>
      <c r="L2497" t="n">
        <v>0.781</v>
      </c>
      <c r="M2497" t="n">
        <v>0</v>
      </c>
    </row>
    <row r="2498" spans="1:13">
      <c r="A2498" s="1">
        <f>HYPERLINK("http://www.twitter.com/NathanBLawrence/status/989380160431386624", "989380160431386624")</f>
        <v/>
      </c>
      <c r="B2498" s="2" t="n">
        <v>43216.24057870371</v>
      </c>
      <c r="C2498" t="n">
        <v>0</v>
      </c>
      <c r="D2498" t="n">
        <v>12</v>
      </c>
      <c r="E2498" t="s">
        <v>2504</v>
      </c>
      <c r="F2498" t="s"/>
      <c r="G2498" t="s"/>
      <c r="H2498" t="s"/>
      <c r="I2498" t="s"/>
      <c r="J2498" t="n">
        <v>-0.8126</v>
      </c>
      <c r="K2498" t="n">
        <v>0.318</v>
      </c>
      <c r="L2498" t="n">
        <v>0.6820000000000001</v>
      </c>
      <c r="M2498" t="n">
        <v>0</v>
      </c>
    </row>
    <row r="2499" spans="1:13">
      <c r="A2499" s="1">
        <f>HYPERLINK("http://www.twitter.com/NathanBLawrence/status/989380062087593984", "989380062087593984")</f>
        <v/>
      </c>
      <c r="B2499" s="2" t="n">
        <v>43216.2403125</v>
      </c>
      <c r="C2499" t="n">
        <v>0</v>
      </c>
      <c r="D2499" t="n">
        <v>11</v>
      </c>
      <c r="E2499" t="s">
        <v>2505</v>
      </c>
      <c r="F2499" t="s"/>
      <c r="G2499" t="s"/>
      <c r="H2499" t="s"/>
      <c r="I2499" t="s"/>
      <c r="J2499" t="n">
        <v>-0.0258</v>
      </c>
      <c r="K2499" t="n">
        <v>0.169</v>
      </c>
      <c r="L2499" t="n">
        <v>0.664</v>
      </c>
      <c r="M2499" t="n">
        <v>0.166</v>
      </c>
    </row>
    <row r="2500" spans="1:13">
      <c r="A2500" s="1">
        <f>HYPERLINK("http://www.twitter.com/NathanBLawrence/status/989379973277335552", "989379973277335552")</f>
        <v/>
      </c>
      <c r="B2500" s="2" t="n">
        <v>43216.24006944444</v>
      </c>
      <c r="C2500" t="n">
        <v>0</v>
      </c>
      <c r="D2500" t="n">
        <v>5</v>
      </c>
      <c r="E2500" t="s">
        <v>2506</v>
      </c>
      <c r="F2500" t="s"/>
      <c r="G2500" t="s"/>
      <c r="H2500" t="s"/>
      <c r="I2500" t="s"/>
      <c r="J2500" t="n">
        <v>-0.4588</v>
      </c>
      <c r="K2500" t="n">
        <v>0.143</v>
      </c>
      <c r="L2500" t="n">
        <v>0.857</v>
      </c>
      <c r="M2500" t="n">
        <v>0</v>
      </c>
    </row>
    <row r="2501" spans="1:13">
      <c r="A2501" s="1">
        <f>HYPERLINK("http://www.twitter.com/NathanBLawrence/status/989376248349540352", "989376248349540352")</f>
        <v/>
      </c>
      <c r="B2501" s="2" t="n">
        <v>43216.2297800926</v>
      </c>
      <c r="C2501" t="n">
        <v>0</v>
      </c>
      <c r="D2501" t="n">
        <v>585</v>
      </c>
      <c r="E2501" t="s">
        <v>2507</v>
      </c>
      <c r="F2501" t="s"/>
      <c r="G2501" t="s"/>
      <c r="H2501" t="s"/>
      <c r="I2501" t="s"/>
      <c r="J2501" t="n">
        <v>0.836</v>
      </c>
      <c r="K2501" t="n">
        <v>0</v>
      </c>
      <c r="L2501" t="n">
        <v>0.702</v>
      </c>
      <c r="M2501" t="n">
        <v>0.298</v>
      </c>
    </row>
    <row r="2502" spans="1:13">
      <c r="A2502" s="1">
        <f>HYPERLINK("http://www.twitter.com/NathanBLawrence/status/989376199771078656", "989376199771078656")</f>
        <v/>
      </c>
      <c r="B2502" s="2" t="n">
        <v>43216.22965277778</v>
      </c>
      <c r="C2502" t="n">
        <v>0</v>
      </c>
      <c r="D2502" t="n">
        <v>0</v>
      </c>
      <c r="E2502" t="s">
        <v>2508</v>
      </c>
      <c r="F2502" t="s"/>
      <c r="G2502" t="s"/>
      <c r="H2502" t="s"/>
      <c r="I2502" t="s"/>
      <c r="J2502" t="n">
        <v>-0.7819</v>
      </c>
      <c r="K2502" t="n">
        <v>0.252</v>
      </c>
      <c r="L2502" t="n">
        <v>0.672</v>
      </c>
      <c r="M2502" t="n">
        <v>0.076</v>
      </c>
    </row>
    <row r="2503" spans="1:13">
      <c r="A2503" s="1">
        <f>HYPERLINK("http://www.twitter.com/NathanBLawrence/status/989375365205258240", "989375365205258240")</f>
        <v/>
      </c>
      <c r="B2503" s="2" t="n">
        <v>43216.22734953704</v>
      </c>
      <c r="C2503" t="n">
        <v>0</v>
      </c>
      <c r="D2503" t="n">
        <v>0</v>
      </c>
      <c r="E2503" t="s">
        <v>2509</v>
      </c>
      <c r="F2503" t="s"/>
      <c r="G2503" t="s"/>
      <c r="H2503" t="s"/>
      <c r="I2503" t="s"/>
      <c r="J2503" t="n">
        <v>0.5266999999999999</v>
      </c>
      <c r="K2503" t="n">
        <v>0</v>
      </c>
      <c r="L2503" t="n">
        <v>0.85</v>
      </c>
      <c r="M2503" t="n">
        <v>0.15</v>
      </c>
    </row>
    <row r="2504" spans="1:13">
      <c r="A2504" s="1">
        <f>HYPERLINK("http://www.twitter.com/NathanBLawrence/status/989373069146841089", "989373069146841089")</f>
        <v/>
      </c>
      <c r="B2504" s="2" t="n">
        <v>43216.22101851852</v>
      </c>
      <c r="C2504" t="n">
        <v>5</v>
      </c>
      <c r="D2504" t="n">
        <v>3</v>
      </c>
      <c r="E2504" t="s">
        <v>2510</v>
      </c>
      <c r="F2504" t="s"/>
      <c r="G2504" t="s"/>
      <c r="H2504" t="s"/>
      <c r="I2504" t="s"/>
      <c r="J2504" t="n">
        <v>-0.6153999999999999</v>
      </c>
      <c r="K2504" t="n">
        <v>0.234</v>
      </c>
      <c r="L2504" t="n">
        <v>0.616</v>
      </c>
      <c r="M2504" t="n">
        <v>0.15</v>
      </c>
    </row>
    <row r="2505" spans="1:13">
      <c r="A2505" s="1">
        <f>HYPERLINK("http://www.twitter.com/NathanBLawrence/status/989370042457382912", "989370042457382912")</f>
        <v/>
      </c>
      <c r="B2505" s="2" t="n">
        <v>43216.21266203704</v>
      </c>
      <c r="C2505" t="n">
        <v>0</v>
      </c>
      <c r="D2505" t="n">
        <v>0</v>
      </c>
      <c r="E2505" t="s">
        <v>2511</v>
      </c>
      <c r="F2505" t="s"/>
      <c r="G2505" t="s"/>
      <c r="H2505" t="s"/>
      <c r="I2505" t="s"/>
      <c r="J2505" t="n">
        <v>0</v>
      </c>
      <c r="K2505" t="n">
        <v>0</v>
      </c>
      <c r="L2505" t="n">
        <v>1</v>
      </c>
      <c r="M2505" t="n">
        <v>0</v>
      </c>
    </row>
    <row r="2506" spans="1:13">
      <c r="A2506" s="1">
        <f>HYPERLINK("http://www.twitter.com/NathanBLawrence/status/989362173611683840", "989362173611683840")</f>
        <v/>
      </c>
      <c r="B2506" s="2" t="n">
        <v>43216.19094907407</v>
      </c>
      <c r="C2506" t="n">
        <v>0</v>
      </c>
      <c r="D2506" t="n">
        <v>8855</v>
      </c>
      <c r="E2506" t="s">
        <v>2512</v>
      </c>
      <c r="F2506" t="s"/>
      <c r="G2506" t="s"/>
      <c r="H2506" t="s"/>
      <c r="I2506" t="s"/>
      <c r="J2506" t="n">
        <v>0.34</v>
      </c>
      <c r="K2506" t="n">
        <v>0.113</v>
      </c>
      <c r="L2506" t="n">
        <v>0.695</v>
      </c>
      <c r="M2506" t="n">
        <v>0.192</v>
      </c>
    </row>
    <row r="2507" spans="1:13">
      <c r="A2507" s="1">
        <f>HYPERLINK("http://www.twitter.com/NathanBLawrence/status/989362072235327494", "989362072235327494")</f>
        <v/>
      </c>
      <c r="B2507" s="2" t="n">
        <v>43216.1906712963</v>
      </c>
      <c r="C2507" t="n">
        <v>0</v>
      </c>
      <c r="D2507" t="n">
        <v>7694</v>
      </c>
      <c r="E2507" t="s">
        <v>2513</v>
      </c>
      <c r="F2507" t="s"/>
      <c r="G2507" t="s"/>
      <c r="H2507" t="s"/>
      <c r="I2507" t="s"/>
      <c r="J2507" t="n">
        <v>0.3818</v>
      </c>
      <c r="K2507" t="n">
        <v>0.188</v>
      </c>
      <c r="L2507" t="n">
        <v>0.5639999999999999</v>
      </c>
      <c r="M2507" t="n">
        <v>0.248</v>
      </c>
    </row>
    <row r="2508" spans="1:13">
      <c r="A2508" s="1">
        <f>HYPERLINK("http://www.twitter.com/NathanBLawrence/status/989361919172608001", "989361919172608001")</f>
        <v/>
      </c>
      <c r="B2508" s="2" t="n">
        <v>43216.19024305556</v>
      </c>
      <c r="C2508" t="n">
        <v>0</v>
      </c>
      <c r="D2508" t="n">
        <v>1704</v>
      </c>
      <c r="E2508" t="s">
        <v>2514</v>
      </c>
      <c r="F2508" t="s"/>
      <c r="G2508" t="s"/>
      <c r="H2508" t="s"/>
      <c r="I2508" t="s"/>
      <c r="J2508" t="n">
        <v>-0.2023</v>
      </c>
      <c r="K2508" t="n">
        <v>0.073</v>
      </c>
      <c r="L2508" t="n">
        <v>0.927</v>
      </c>
      <c r="M2508" t="n">
        <v>0</v>
      </c>
    </row>
    <row r="2509" spans="1:13">
      <c r="A2509" s="1">
        <f>HYPERLINK("http://www.twitter.com/NathanBLawrence/status/989361860049747968", "989361860049747968")</f>
        <v/>
      </c>
      <c r="B2509" s="2" t="n">
        <v>43216.19008101852</v>
      </c>
      <c r="C2509" t="n">
        <v>0</v>
      </c>
      <c r="D2509" t="n">
        <v>2790</v>
      </c>
      <c r="E2509" t="s">
        <v>2515</v>
      </c>
      <c r="F2509" t="s"/>
      <c r="G2509" t="s"/>
      <c r="H2509" t="s"/>
      <c r="I2509" t="s"/>
      <c r="J2509" t="n">
        <v>-0.0258</v>
      </c>
      <c r="K2509" t="n">
        <v>0.137</v>
      </c>
      <c r="L2509" t="n">
        <v>0.73</v>
      </c>
      <c r="M2509" t="n">
        <v>0.133</v>
      </c>
    </row>
    <row r="2510" spans="1:13">
      <c r="A2510" s="1">
        <f>HYPERLINK("http://www.twitter.com/NathanBLawrence/status/989361781205159937", "989361781205159937")</f>
        <v/>
      </c>
      <c r="B2510" s="2" t="n">
        <v>43216.18986111111</v>
      </c>
      <c r="C2510" t="n">
        <v>0</v>
      </c>
      <c r="D2510" t="n">
        <v>6</v>
      </c>
      <c r="E2510" t="s">
        <v>2516</v>
      </c>
      <c r="F2510" t="s"/>
      <c r="G2510" t="s"/>
      <c r="H2510" t="s"/>
      <c r="I2510" t="s"/>
      <c r="J2510" t="n">
        <v>0.09</v>
      </c>
      <c r="K2510" t="n">
        <v>0.07099999999999999</v>
      </c>
      <c r="L2510" t="n">
        <v>0.843</v>
      </c>
      <c r="M2510" t="n">
        <v>0.08599999999999999</v>
      </c>
    </row>
    <row r="2511" spans="1:13">
      <c r="A2511" s="1">
        <f>HYPERLINK("http://www.twitter.com/NathanBLawrence/status/989361608248864768", "989361608248864768")</f>
        <v/>
      </c>
      <c r="B2511" s="2" t="n">
        <v>43216.18938657407</v>
      </c>
      <c r="C2511" t="n">
        <v>0</v>
      </c>
      <c r="D2511" t="n">
        <v>4438</v>
      </c>
      <c r="E2511" t="s">
        <v>2517</v>
      </c>
      <c r="F2511" t="s"/>
      <c r="G2511" t="s"/>
      <c r="H2511" t="s"/>
      <c r="I2511" t="s"/>
      <c r="J2511" t="n">
        <v>0.5574</v>
      </c>
      <c r="K2511" t="n">
        <v>0</v>
      </c>
      <c r="L2511" t="n">
        <v>0.805</v>
      </c>
      <c r="M2511" t="n">
        <v>0.195</v>
      </c>
    </row>
    <row r="2512" spans="1:13">
      <c r="A2512" s="1">
        <f>HYPERLINK("http://www.twitter.com/NathanBLawrence/status/989361485276004355", "989361485276004355")</f>
        <v/>
      </c>
      <c r="B2512" s="2" t="n">
        <v>43216.18905092592</v>
      </c>
      <c r="C2512" t="n">
        <v>0</v>
      </c>
      <c r="D2512" t="n">
        <v>5996</v>
      </c>
      <c r="E2512" t="s">
        <v>2518</v>
      </c>
      <c r="F2512" t="s"/>
      <c r="G2512" t="s"/>
      <c r="H2512" t="s"/>
      <c r="I2512" t="s"/>
      <c r="J2512" t="n">
        <v>0</v>
      </c>
      <c r="K2512" t="n">
        <v>0</v>
      </c>
      <c r="L2512" t="n">
        <v>1</v>
      </c>
      <c r="M2512" t="n">
        <v>0</v>
      </c>
    </row>
    <row r="2513" spans="1:13">
      <c r="A2513" s="1">
        <f>HYPERLINK("http://www.twitter.com/NathanBLawrence/status/989361432876630016", "989361432876630016")</f>
        <v/>
      </c>
      <c r="B2513" s="2" t="n">
        <v>43216.18890046296</v>
      </c>
      <c r="C2513" t="n">
        <v>0</v>
      </c>
      <c r="D2513" t="n">
        <v>3714</v>
      </c>
      <c r="E2513" t="s">
        <v>2519</v>
      </c>
      <c r="F2513">
        <f>HYPERLINK("http://pbs.twimg.com/media/DbrHn7sUwAAgaZe.jpg", "http://pbs.twimg.com/media/DbrHn7sUwAAgaZe.jpg")</f>
        <v/>
      </c>
      <c r="G2513" t="s"/>
      <c r="H2513" t="s"/>
      <c r="I2513" t="s"/>
      <c r="J2513" t="n">
        <v>0</v>
      </c>
      <c r="K2513" t="n">
        <v>0</v>
      </c>
      <c r="L2513" t="n">
        <v>1</v>
      </c>
      <c r="M2513" t="n">
        <v>0</v>
      </c>
    </row>
    <row r="2514" spans="1:13">
      <c r="A2514" s="1">
        <f>HYPERLINK("http://www.twitter.com/NathanBLawrence/status/989359039812268032", "989359039812268032")</f>
        <v/>
      </c>
      <c r="B2514" s="2" t="n">
        <v>43216.18230324074</v>
      </c>
      <c r="C2514" t="n">
        <v>0</v>
      </c>
      <c r="D2514" t="n">
        <v>1</v>
      </c>
      <c r="E2514" t="s">
        <v>2520</v>
      </c>
      <c r="F2514" t="s"/>
      <c r="G2514" t="s"/>
      <c r="H2514" t="s"/>
      <c r="I2514" t="s"/>
      <c r="J2514" t="n">
        <v>0.5106000000000001</v>
      </c>
      <c r="K2514" t="n">
        <v>0</v>
      </c>
      <c r="L2514" t="n">
        <v>0.852</v>
      </c>
      <c r="M2514" t="n">
        <v>0.148</v>
      </c>
    </row>
    <row r="2515" spans="1:13">
      <c r="A2515" s="1">
        <f>HYPERLINK("http://www.twitter.com/NathanBLawrence/status/989356165308940288", "989356165308940288")</f>
        <v/>
      </c>
      <c r="B2515" s="2" t="n">
        <v>43216.17436342593</v>
      </c>
      <c r="C2515" t="n">
        <v>0</v>
      </c>
      <c r="D2515" t="n">
        <v>8</v>
      </c>
      <c r="E2515" t="s">
        <v>2521</v>
      </c>
      <c r="F2515" t="s"/>
      <c r="G2515" t="s"/>
      <c r="H2515" t="s"/>
      <c r="I2515" t="s"/>
      <c r="J2515" t="n">
        <v>-0.4404</v>
      </c>
      <c r="K2515" t="n">
        <v>0.132</v>
      </c>
      <c r="L2515" t="n">
        <v>0.868</v>
      </c>
      <c r="M2515" t="n">
        <v>0</v>
      </c>
    </row>
    <row r="2516" spans="1:13">
      <c r="A2516" s="1">
        <f>HYPERLINK("http://www.twitter.com/NathanBLawrence/status/989356144614260736", "989356144614260736")</f>
        <v/>
      </c>
      <c r="B2516" s="2" t="n">
        <v>43216.17430555556</v>
      </c>
      <c r="C2516" t="n">
        <v>0</v>
      </c>
      <c r="D2516" t="n">
        <v>9</v>
      </c>
      <c r="E2516" t="s">
        <v>2522</v>
      </c>
      <c r="F2516" t="s"/>
      <c r="G2516" t="s"/>
      <c r="H2516" t="s"/>
      <c r="I2516" t="s"/>
      <c r="J2516" t="n">
        <v>0.4767</v>
      </c>
      <c r="K2516" t="n">
        <v>0</v>
      </c>
      <c r="L2516" t="n">
        <v>0.846</v>
      </c>
      <c r="M2516" t="n">
        <v>0.154</v>
      </c>
    </row>
    <row r="2517" spans="1:13">
      <c r="A2517" s="1">
        <f>HYPERLINK("http://www.twitter.com/NathanBLawrence/status/989355173528059905", "989355173528059905")</f>
        <v/>
      </c>
      <c r="B2517" s="2" t="n">
        <v>43216.17163194445</v>
      </c>
      <c r="C2517" t="n">
        <v>0</v>
      </c>
      <c r="D2517" t="n">
        <v>250</v>
      </c>
      <c r="E2517" t="s">
        <v>2523</v>
      </c>
      <c r="F2517">
        <f>HYPERLINK("http://pbs.twimg.com/media/DbnaLrVWkAA0H8Q.jpg", "http://pbs.twimg.com/media/DbnaLrVWkAA0H8Q.jpg")</f>
        <v/>
      </c>
      <c r="G2517">
        <f>HYPERLINK("http://pbs.twimg.com/media/DbnaLqVXkAAT31r.jpg", "http://pbs.twimg.com/media/DbnaLqVXkAAT31r.jpg")</f>
        <v/>
      </c>
      <c r="H2517">
        <f>HYPERLINK("http://pbs.twimg.com/media/DbnaLqVXUAAPtma.jpg", "http://pbs.twimg.com/media/DbnaLqVXUAAPtma.jpg")</f>
        <v/>
      </c>
      <c r="I2517">
        <f>HYPERLINK("http://pbs.twimg.com/media/DbnaLqbXcAAt_Ke.jpg", "http://pbs.twimg.com/media/DbnaLqbXcAAt_Ke.jpg")</f>
        <v/>
      </c>
      <c r="J2517" t="n">
        <v>0</v>
      </c>
      <c r="K2517" t="n">
        <v>0</v>
      </c>
      <c r="L2517" t="n">
        <v>1</v>
      </c>
      <c r="M2517" t="n">
        <v>0</v>
      </c>
    </row>
    <row r="2518" spans="1:13">
      <c r="A2518" s="1">
        <f>HYPERLINK("http://www.twitter.com/NathanBLawrence/status/989352850152083456", "989352850152083456")</f>
        <v/>
      </c>
      <c r="B2518" s="2" t="n">
        <v>43216.16521990741</v>
      </c>
      <c r="C2518" t="n">
        <v>0</v>
      </c>
      <c r="D2518" t="n">
        <v>143</v>
      </c>
      <c r="E2518" t="s">
        <v>2524</v>
      </c>
      <c r="F2518" t="s"/>
      <c r="G2518" t="s"/>
      <c r="H2518" t="s"/>
      <c r="I2518" t="s"/>
      <c r="J2518" t="n">
        <v>-0.4824</v>
      </c>
      <c r="K2518" t="n">
        <v>0.125</v>
      </c>
      <c r="L2518" t="n">
        <v>0.875</v>
      </c>
      <c r="M2518" t="n">
        <v>0</v>
      </c>
    </row>
    <row r="2519" spans="1:13">
      <c r="A2519" s="1">
        <f>HYPERLINK("http://www.twitter.com/NathanBLawrence/status/989352424228843522", "989352424228843522")</f>
        <v/>
      </c>
      <c r="B2519" s="2" t="n">
        <v>43216.16403935185</v>
      </c>
      <c r="C2519" t="n">
        <v>0</v>
      </c>
      <c r="D2519" t="n">
        <v>78</v>
      </c>
      <c r="E2519" t="s">
        <v>2525</v>
      </c>
      <c r="F2519">
        <f>HYPERLINK("http://pbs.twimg.com/media/Dazk0A6V4AE3_wn.jpg", "http://pbs.twimg.com/media/Dazk0A6V4AE3_wn.jpg")</f>
        <v/>
      </c>
      <c r="G2519" t="s"/>
      <c r="H2519" t="s"/>
      <c r="I2519" t="s"/>
      <c r="J2519" t="n">
        <v>0.5473</v>
      </c>
      <c r="K2519" t="n">
        <v>0</v>
      </c>
      <c r="L2519" t="n">
        <v>0.773</v>
      </c>
      <c r="M2519" t="n">
        <v>0.227</v>
      </c>
    </row>
    <row r="2520" spans="1:13">
      <c r="A2520" s="1">
        <f>HYPERLINK("http://www.twitter.com/NathanBLawrence/status/989352353311567872", "989352353311567872")</f>
        <v/>
      </c>
      <c r="B2520" s="2" t="n">
        <v>43216.16384259259</v>
      </c>
      <c r="C2520" t="n">
        <v>0</v>
      </c>
      <c r="D2520" t="n">
        <v>216</v>
      </c>
      <c r="E2520" t="s">
        <v>2526</v>
      </c>
      <c r="F2520">
        <f>HYPERLINK("http://pbs.twimg.com/media/Dazj1ChVQAAOggC.jpg", "http://pbs.twimg.com/media/Dazj1ChVQAAOggC.jpg")</f>
        <v/>
      </c>
      <c r="G2520">
        <f>HYPERLINK("http://pbs.twimg.com/media/Dazj1ChUwAAyyw9.jpg", "http://pbs.twimg.com/media/Dazj1ChUwAAyyw9.jpg")</f>
        <v/>
      </c>
      <c r="H2520" t="s"/>
      <c r="I2520" t="s"/>
      <c r="J2520" t="n">
        <v>0</v>
      </c>
      <c r="K2520" t="n">
        <v>0</v>
      </c>
      <c r="L2520" t="n">
        <v>1</v>
      </c>
      <c r="M2520" t="n">
        <v>0</v>
      </c>
    </row>
    <row r="2521" spans="1:13">
      <c r="A2521" s="1">
        <f>HYPERLINK("http://www.twitter.com/NathanBLawrence/status/989352264077737984", "989352264077737984")</f>
        <v/>
      </c>
      <c r="B2521" s="2" t="n">
        <v>43216.16359953704</v>
      </c>
      <c r="C2521" t="n">
        <v>0</v>
      </c>
      <c r="D2521" t="n">
        <v>637</v>
      </c>
      <c r="E2521" t="s">
        <v>2527</v>
      </c>
      <c r="F2521">
        <f>HYPERLINK("http://pbs.twimg.com/media/DazgPDbVAAASWPl.jpg", "http://pbs.twimg.com/media/DazgPDbVAAASWPl.jpg")</f>
        <v/>
      </c>
      <c r="G2521">
        <f>HYPERLINK("http://pbs.twimg.com/media/DazgPDbUMAAA8D8.jpg", "http://pbs.twimg.com/media/DazgPDbUMAAA8D8.jpg")</f>
        <v/>
      </c>
      <c r="H2521" t="s"/>
      <c r="I2521" t="s"/>
      <c r="J2521" t="n">
        <v>-0.3182</v>
      </c>
      <c r="K2521" t="n">
        <v>0.095</v>
      </c>
      <c r="L2521" t="n">
        <v>0.905</v>
      </c>
      <c r="M2521" t="n">
        <v>0</v>
      </c>
    </row>
    <row r="2522" spans="1:13">
      <c r="A2522" s="1">
        <f>HYPERLINK("http://www.twitter.com/NathanBLawrence/status/989351246610948097", "989351246610948097")</f>
        <v/>
      </c>
      <c r="B2522" s="2" t="n">
        <v>43216.16079861111</v>
      </c>
      <c r="C2522" t="n">
        <v>0</v>
      </c>
      <c r="D2522" t="n">
        <v>201</v>
      </c>
      <c r="E2522" t="s">
        <v>2528</v>
      </c>
      <c r="F2522" t="s"/>
      <c r="G2522" t="s"/>
      <c r="H2522" t="s"/>
      <c r="I2522" t="s"/>
      <c r="J2522" t="n">
        <v>0.2808</v>
      </c>
      <c r="K2522" t="n">
        <v>0.08599999999999999</v>
      </c>
      <c r="L2522" t="n">
        <v>0.788</v>
      </c>
      <c r="M2522" t="n">
        <v>0.126</v>
      </c>
    </row>
    <row r="2523" spans="1:13">
      <c r="A2523" s="1">
        <f>HYPERLINK("http://www.twitter.com/NathanBLawrence/status/989346296237408256", "989346296237408256")</f>
        <v/>
      </c>
      <c r="B2523" s="2" t="n">
        <v>43216.14712962963</v>
      </c>
      <c r="C2523" t="n">
        <v>0</v>
      </c>
      <c r="D2523" t="n">
        <v>0</v>
      </c>
      <c r="E2523" t="s">
        <v>2529</v>
      </c>
      <c r="F2523" t="s"/>
      <c r="G2523" t="s"/>
      <c r="H2523" t="s"/>
      <c r="I2523" t="s"/>
      <c r="J2523" t="n">
        <v>-0.6151</v>
      </c>
      <c r="K2523" t="n">
        <v>0.229</v>
      </c>
      <c r="L2523" t="n">
        <v>0.643</v>
      </c>
      <c r="M2523" t="n">
        <v>0.128</v>
      </c>
    </row>
    <row r="2524" spans="1:13">
      <c r="A2524" s="1">
        <f>HYPERLINK("http://www.twitter.com/NathanBLawrence/status/989336781706354688", "989336781706354688")</f>
        <v/>
      </c>
      <c r="B2524" s="2" t="n">
        <v>43216.12087962963</v>
      </c>
      <c r="C2524" t="n">
        <v>0</v>
      </c>
      <c r="D2524" t="n">
        <v>114</v>
      </c>
      <c r="E2524" t="s">
        <v>2530</v>
      </c>
      <c r="F2524">
        <f>HYPERLINK("http://pbs.twimg.com/media/DaninISWsAEG-0g.jpg", "http://pbs.twimg.com/media/DaninISWsAEG-0g.jpg")</f>
        <v/>
      </c>
      <c r="G2524" t="s"/>
      <c r="H2524" t="s"/>
      <c r="I2524" t="s"/>
      <c r="J2524" t="n">
        <v>0</v>
      </c>
      <c r="K2524" t="n">
        <v>0</v>
      </c>
      <c r="L2524" t="n">
        <v>1</v>
      </c>
      <c r="M2524" t="n">
        <v>0</v>
      </c>
    </row>
    <row r="2525" spans="1:13">
      <c r="A2525" s="1">
        <f>HYPERLINK("http://www.twitter.com/NathanBLawrence/status/989336532761722880", "989336532761722880")</f>
        <v/>
      </c>
      <c r="B2525" s="2" t="n">
        <v>43216.12019675926</v>
      </c>
      <c r="C2525" t="n">
        <v>0</v>
      </c>
      <c r="D2525" t="n">
        <v>34</v>
      </c>
      <c r="E2525" t="s">
        <v>2531</v>
      </c>
      <c r="F2525" t="s"/>
      <c r="G2525" t="s"/>
      <c r="H2525" t="s"/>
      <c r="I2525" t="s"/>
      <c r="J2525" t="n">
        <v>0</v>
      </c>
      <c r="K2525" t="n">
        <v>0</v>
      </c>
      <c r="L2525" t="n">
        <v>1</v>
      </c>
      <c r="M2525" t="n">
        <v>0</v>
      </c>
    </row>
    <row r="2526" spans="1:13">
      <c r="A2526" s="1">
        <f>HYPERLINK("http://www.twitter.com/NathanBLawrence/status/989336351479771142", "989336351479771142")</f>
        <v/>
      </c>
      <c r="B2526" s="2" t="n">
        <v>43216.1196875</v>
      </c>
      <c r="C2526" t="n">
        <v>0</v>
      </c>
      <c r="D2526" t="n">
        <v>1855</v>
      </c>
      <c r="E2526" t="s">
        <v>2532</v>
      </c>
      <c r="F2526" t="s"/>
      <c r="G2526" t="s"/>
      <c r="H2526" t="s"/>
      <c r="I2526" t="s"/>
      <c r="J2526" t="n">
        <v>-0.6997</v>
      </c>
      <c r="K2526" t="n">
        <v>0.34</v>
      </c>
      <c r="L2526" t="n">
        <v>0.546</v>
      </c>
      <c r="M2526" t="n">
        <v>0.114</v>
      </c>
    </row>
    <row r="2527" spans="1:13">
      <c r="A2527" s="1">
        <f>HYPERLINK("http://www.twitter.com/NathanBLawrence/status/989336238590119936", "989336238590119936")</f>
        <v/>
      </c>
      <c r="B2527" s="2" t="n">
        <v>43216.119375</v>
      </c>
      <c r="C2527" t="n">
        <v>0</v>
      </c>
      <c r="D2527" t="n">
        <v>1930</v>
      </c>
      <c r="E2527" t="s">
        <v>2533</v>
      </c>
      <c r="F2527">
        <f>HYPERLINK("http://pbs.twimg.com/media/DbZE92dVwAEQgnN.jpg", "http://pbs.twimg.com/media/DbZE92dVwAEQgnN.jpg")</f>
        <v/>
      </c>
      <c r="G2527" t="s"/>
      <c r="H2527" t="s"/>
      <c r="I2527" t="s"/>
      <c r="J2527" t="n">
        <v>0</v>
      </c>
      <c r="K2527" t="n">
        <v>0</v>
      </c>
      <c r="L2527" t="n">
        <v>1</v>
      </c>
      <c r="M2527" t="n">
        <v>0</v>
      </c>
    </row>
    <row r="2528" spans="1:13">
      <c r="A2528" s="1">
        <f>HYPERLINK("http://www.twitter.com/NathanBLawrence/status/989335507753615360", "989335507753615360")</f>
        <v/>
      </c>
      <c r="B2528" s="2" t="n">
        <v>43216.11736111111</v>
      </c>
      <c r="C2528" t="n">
        <v>0</v>
      </c>
      <c r="D2528" t="n">
        <v>133</v>
      </c>
      <c r="E2528" t="s">
        <v>2534</v>
      </c>
      <c r="F2528">
        <f>HYPERLINK("http://pbs.twimg.com/media/DbpJKW0W0AIVwdk.jpg", "http://pbs.twimg.com/media/DbpJKW0W0AIVwdk.jpg")</f>
        <v/>
      </c>
      <c r="G2528" t="s"/>
      <c r="H2528" t="s"/>
      <c r="I2528" t="s"/>
      <c r="J2528" t="n">
        <v>0</v>
      </c>
      <c r="K2528" t="n">
        <v>0</v>
      </c>
      <c r="L2528" t="n">
        <v>1</v>
      </c>
      <c r="M2528" t="n">
        <v>0</v>
      </c>
    </row>
    <row r="2529" spans="1:13">
      <c r="A2529" s="1">
        <f>HYPERLINK("http://www.twitter.com/NathanBLawrence/status/989335318158438400", "989335318158438400")</f>
        <v/>
      </c>
      <c r="B2529" s="2" t="n">
        <v>43216.11684027778</v>
      </c>
      <c r="C2529" t="n">
        <v>0</v>
      </c>
      <c r="D2529" t="n">
        <v>186</v>
      </c>
      <c r="E2529" t="s">
        <v>2535</v>
      </c>
      <c r="F2529">
        <f>HYPERLINK("http://pbs.twimg.com/media/DbqborRU8AAVmaH.jpg", "http://pbs.twimg.com/media/DbqborRU8AAVmaH.jpg")</f>
        <v/>
      </c>
      <c r="G2529">
        <f>HYPERLINK("http://pbs.twimg.com/media/DbqbotAV4AA8knh.jpg", "http://pbs.twimg.com/media/DbqbotAV4AA8knh.jpg")</f>
        <v/>
      </c>
      <c r="H2529" t="s"/>
      <c r="I2529" t="s"/>
      <c r="J2529" t="n">
        <v>0</v>
      </c>
      <c r="K2529" t="n">
        <v>0</v>
      </c>
      <c r="L2529" t="n">
        <v>1</v>
      </c>
      <c r="M2529" t="n">
        <v>0</v>
      </c>
    </row>
    <row r="2530" spans="1:13">
      <c r="A2530" s="1">
        <f>HYPERLINK("http://www.twitter.com/NathanBLawrence/status/989335270192332800", "989335270192332800")</f>
        <v/>
      </c>
      <c r="B2530" s="2" t="n">
        <v>43216.11671296296</v>
      </c>
      <c r="C2530" t="n">
        <v>0</v>
      </c>
      <c r="D2530" t="n">
        <v>197</v>
      </c>
      <c r="E2530" t="s">
        <v>2536</v>
      </c>
      <c r="F2530">
        <f>HYPERLINK("http://pbs.twimg.com/media/DbqfgbCV4AE_zLu.jpg", "http://pbs.twimg.com/media/DbqfgbCV4AE_zLu.jpg")</f>
        <v/>
      </c>
      <c r="G2530" t="s"/>
      <c r="H2530" t="s"/>
      <c r="I2530" t="s"/>
      <c r="J2530" t="n">
        <v>0.6124000000000001</v>
      </c>
      <c r="K2530" t="n">
        <v>0</v>
      </c>
      <c r="L2530" t="n">
        <v>0.8080000000000001</v>
      </c>
      <c r="M2530" t="n">
        <v>0.192</v>
      </c>
    </row>
    <row r="2531" spans="1:13">
      <c r="A2531" s="1">
        <f>HYPERLINK("http://www.twitter.com/NathanBLawrence/status/989335181042446336", "989335181042446336")</f>
        <v/>
      </c>
      <c r="B2531" s="2" t="n">
        <v>43216.11645833333</v>
      </c>
      <c r="C2531" t="n">
        <v>0</v>
      </c>
      <c r="D2531" t="n">
        <v>1167</v>
      </c>
      <c r="E2531" t="s">
        <v>2537</v>
      </c>
      <c r="F2531" t="s"/>
      <c r="G2531" t="s"/>
      <c r="H2531" t="s"/>
      <c r="I2531" t="s"/>
      <c r="J2531" t="n">
        <v>0.8401999999999999</v>
      </c>
      <c r="K2531" t="n">
        <v>0</v>
      </c>
      <c r="L2531" t="n">
        <v>0.71</v>
      </c>
      <c r="M2531" t="n">
        <v>0.29</v>
      </c>
    </row>
    <row r="2532" spans="1:13">
      <c r="A2532" s="1">
        <f>HYPERLINK("http://www.twitter.com/NathanBLawrence/status/989334998292447234", "989334998292447234")</f>
        <v/>
      </c>
      <c r="B2532" s="2" t="n">
        <v>43216.11596064815</v>
      </c>
      <c r="C2532" t="n">
        <v>0</v>
      </c>
      <c r="D2532" t="n">
        <v>5</v>
      </c>
      <c r="E2532" t="s">
        <v>2538</v>
      </c>
      <c r="F2532">
        <f>HYPERLINK("http://pbs.twimg.com/media/DbpXasmU8AIRHeZ.jpg", "http://pbs.twimg.com/media/DbpXasmU8AIRHeZ.jpg")</f>
        <v/>
      </c>
      <c r="G2532" t="s"/>
      <c r="H2532" t="s"/>
      <c r="I2532" t="s"/>
      <c r="J2532" t="n">
        <v>0</v>
      </c>
      <c r="K2532" t="n">
        <v>0</v>
      </c>
      <c r="L2532" t="n">
        <v>1</v>
      </c>
      <c r="M2532" t="n">
        <v>0</v>
      </c>
    </row>
    <row r="2533" spans="1:13">
      <c r="A2533" s="1">
        <f>HYPERLINK("http://www.twitter.com/NathanBLawrence/status/989334866926829568", "989334866926829568")</f>
        <v/>
      </c>
      <c r="B2533" s="2" t="n">
        <v>43216.11559027778</v>
      </c>
      <c r="C2533" t="n">
        <v>0</v>
      </c>
      <c r="D2533" t="n">
        <v>426</v>
      </c>
      <c r="E2533" t="s">
        <v>2539</v>
      </c>
      <c r="F2533" t="s"/>
      <c r="G2533" t="s"/>
      <c r="H2533" t="s"/>
      <c r="I2533" t="s"/>
      <c r="J2533" t="n">
        <v>-0.5142</v>
      </c>
      <c r="K2533" t="n">
        <v>0.236</v>
      </c>
      <c r="L2533" t="n">
        <v>0.764</v>
      </c>
      <c r="M2533" t="n">
        <v>0</v>
      </c>
    </row>
    <row r="2534" spans="1:13">
      <c r="A2534" s="1">
        <f>HYPERLINK("http://www.twitter.com/NathanBLawrence/status/989334186451386368", "989334186451386368")</f>
        <v/>
      </c>
      <c r="B2534" s="2" t="n">
        <v>43216.11371527778</v>
      </c>
      <c r="C2534" t="n">
        <v>0</v>
      </c>
      <c r="D2534" t="n">
        <v>45</v>
      </c>
      <c r="E2534" t="s">
        <v>2540</v>
      </c>
      <c r="F2534" t="s"/>
      <c r="G2534" t="s"/>
      <c r="H2534" t="s"/>
      <c r="I2534" t="s"/>
      <c r="J2534" t="n">
        <v>-0.7425</v>
      </c>
      <c r="K2534" t="n">
        <v>0.326</v>
      </c>
      <c r="L2534" t="n">
        <v>0.674</v>
      </c>
      <c r="M2534" t="n">
        <v>0</v>
      </c>
    </row>
    <row r="2535" spans="1:13">
      <c r="A2535" s="1">
        <f>HYPERLINK("http://www.twitter.com/NathanBLawrence/status/989333925993431040", "989333925993431040")</f>
        <v/>
      </c>
      <c r="B2535" s="2" t="n">
        <v>43216.11299768519</v>
      </c>
      <c r="C2535" t="n">
        <v>0</v>
      </c>
      <c r="D2535" t="n">
        <v>211</v>
      </c>
      <c r="E2535" t="s">
        <v>2541</v>
      </c>
      <c r="F2535">
        <f>HYPERLINK("http://pbs.twimg.com/media/DboC0QRVAAAKmnB.jpg", "http://pbs.twimg.com/media/DboC0QRVAAAKmnB.jpg")</f>
        <v/>
      </c>
      <c r="G2535" t="s"/>
      <c r="H2535" t="s"/>
      <c r="I2535" t="s"/>
      <c r="J2535" t="n">
        <v>0.8779</v>
      </c>
      <c r="K2535" t="n">
        <v>0</v>
      </c>
      <c r="L2535" t="n">
        <v>0.581</v>
      </c>
      <c r="M2535" t="n">
        <v>0.419</v>
      </c>
    </row>
    <row r="2536" spans="1:13">
      <c r="A2536" s="1">
        <f>HYPERLINK("http://www.twitter.com/NathanBLawrence/status/989333839020412928", "989333839020412928")</f>
        <v/>
      </c>
      <c r="B2536" s="2" t="n">
        <v>43216.11275462963</v>
      </c>
      <c r="C2536" t="n">
        <v>0</v>
      </c>
      <c r="D2536" t="n">
        <v>607</v>
      </c>
      <c r="E2536" t="s">
        <v>2542</v>
      </c>
      <c r="F2536" t="s"/>
      <c r="G2536" t="s"/>
      <c r="H2536" t="s"/>
      <c r="I2536" t="s"/>
      <c r="J2536" t="n">
        <v>-0.4404</v>
      </c>
      <c r="K2536" t="n">
        <v>0.127</v>
      </c>
      <c r="L2536" t="n">
        <v>0.873</v>
      </c>
      <c r="M2536" t="n">
        <v>0</v>
      </c>
    </row>
    <row r="2537" spans="1:13">
      <c r="A2537" s="1">
        <f>HYPERLINK("http://www.twitter.com/NathanBLawrence/status/989333654684950528", "989333654684950528")</f>
        <v/>
      </c>
      <c r="B2537" s="2" t="n">
        <v>43216.11224537037</v>
      </c>
      <c r="C2537" t="n">
        <v>0</v>
      </c>
      <c r="D2537" t="n">
        <v>210</v>
      </c>
      <c r="E2537" t="s">
        <v>2543</v>
      </c>
      <c r="F2537">
        <f>HYPERLINK("http://pbs.twimg.com/media/Dbn_l5CWAAEEomi.jpg", "http://pbs.twimg.com/media/Dbn_l5CWAAEEomi.jpg")</f>
        <v/>
      </c>
      <c r="G2537" t="s"/>
      <c r="H2537" t="s"/>
      <c r="I2537" t="s"/>
      <c r="J2537" t="n">
        <v>-0.0094</v>
      </c>
      <c r="K2537" t="n">
        <v>0.16</v>
      </c>
      <c r="L2537" t="n">
        <v>0.715</v>
      </c>
      <c r="M2537" t="n">
        <v>0.125</v>
      </c>
    </row>
    <row r="2538" spans="1:13">
      <c r="A2538" s="1">
        <f>HYPERLINK("http://www.twitter.com/NathanBLawrence/status/989333475370065922", "989333475370065922")</f>
        <v/>
      </c>
      <c r="B2538" s="2" t="n">
        <v>43216.11175925926</v>
      </c>
      <c r="C2538" t="n">
        <v>0</v>
      </c>
      <c r="D2538" t="n">
        <v>2</v>
      </c>
      <c r="E2538" t="s">
        <v>2544</v>
      </c>
      <c r="F2538" t="s"/>
      <c r="G2538" t="s"/>
      <c r="H2538" t="s"/>
      <c r="I2538" t="s"/>
      <c r="J2538" t="n">
        <v>0.4738</v>
      </c>
      <c r="K2538" t="n">
        <v>0</v>
      </c>
      <c r="L2538" t="n">
        <v>0.877</v>
      </c>
      <c r="M2538" t="n">
        <v>0.123</v>
      </c>
    </row>
    <row r="2539" spans="1:13">
      <c r="A2539" s="1">
        <f>HYPERLINK("http://www.twitter.com/NathanBLawrence/status/989333186931912711", "989333186931912711")</f>
        <v/>
      </c>
      <c r="B2539" s="2" t="n">
        <v>43216.11096064815</v>
      </c>
      <c r="C2539" t="n">
        <v>5</v>
      </c>
      <c r="D2539" t="n">
        <v>2</v>
      </c>
      <c r="E2539" t="s">
        <v>2545</v>
      </c>
      <c r="F2539" t="s"/>
      <c r="G2539" t="s"/>
      <c r="H2539" t="s"/>
      <c r="I2539" t="s"/>
      <c r="J2539" t="n">
        <v>-0.6124000000000001</v>
      </c>
      <c r="K2539" t="n">
        <v>0.222</v>
      </c>
      <c r="L2539" t="n">
        <v>0.778</v>
      </c>
      <c r="M2539" t="n">
        <v>0</v>
      </c>
    </row>
    <row r="2540" spans="1:13">
      <c r="A2540" s="1">
        <f>HYPERLINK("http://www.twitter.com/NathanBLawrence/status/989331954624380928", "989331954624380928")</f>
        <v/>
      </c>
      <c r="B2540" s="2" t="n">
        <v>43216.10755787037</v>
      </c>
      <c r="C2540" t="n">
        <v>0</v>
      </c>
      <c r="D2540" t="n">
        <v>3</v>
      </c>
      <c r="E2540" t="s">
        <v>2546</v>
      </c>
      <c r="F2540" t="s"/>
      <c r="G2540" t="s"/>
      <c r="H2540" t="s"/>
      <c r="I2540" t="s"/>
      <c r="J2540" t="n">
        <v>-0.1027</v>
      </c>
      <c r="K2540" t="n">
        <v>0.06900000000000001</v>
      </c>
      <c r="L2540" t="n">
        <v>0.931</v>
      </c>
      <c r="M2540" t="n">
        <v>0</v>
      </c>
    </row>
    <row r="2541" spans="1:13">
      <c r="A2541" s="1">
        <f>HYPERLINK("http://www.twitter.com/NathanBLawrence/status/989330081267908608", "989330081267908608")</f>
        <v/>
      </c>
      <c r="B2541" s="2" t="n">
        <v>43216.10238425926</v>
      </c>
      <c r="C2541" t="n">
        <v>1</v>
      </c>
      <c r="D2541" t="n">
        <v>0</v>
      </c>
      <c r="E2541" t="s">
        <v>2547</v>
      </c>
      <c r="F2541" t="s"/>
      <c r="G2541" t="s"/>
      <c r="H2541" t="s"/>
      <c r="I2541" t="s"/>
      <c r="J2541" t="n">
        <v>-0.6153999999999999</v>
      </c>
      <c r="K2541" t="n">
        <v>0.234</v>
      </c>
      <c r="L2541" t="n">
        <v>0.616</v>
      </c>
      <c r="M2541" t="n">
        <v>0.15</v>
      </c>
    </row>
    <row r="2542" spans="1:13">
      <c r="A2542" s="1">
        <f>HYPERLINK("http://www.twitter.com/NathanBLawrence/status/989285744786092032", "989285744786092032")</f>
        <v/>
      </c>
      <c r="B2542" s="2" t="n">
        <v>43215.9800462963</v>
      </c>
      <c r="C2542" t="n">
        <v>0</v>
      </c>
      <c r="D2542" t="n">
        <v>1</v>
      </c>
      <c r="E2542" t="s">
        <v>2548</v>
      </c>
      <c r="F2542" t="s"/>
      <c r="G2542" t="s"/>
      <c r="H2542" t="s"/>
      <c r="I2542" t="s"/>
      <c r="J2542" t="n">
        <v>0</v>
      </c>
      <c r="K2542" t="n">
        <v>0</v>
      </c>
      <c r="L2542" t="n">
        <v>1</v>
      </c>
      <c r="M2542" t="n">
        <v>0</v>
      </c>
    </row>
    <row r="2543" spans="1:13">
      <c r="A2543" s="1">
        <f>HYPERLINK("http://www.twitter.com/NathanBLawrence/status/989285142685405185", "989285142685405185")</f>
        <v/>
      </c>
      <c r="B2543" s="2" t="n">
        <v>43215.97837962963</v>
      </c>
      <c r="C2543" t="n">
        <v>0</v>
      </c>
      <c r="D2543" t="n">
        <v>5340</v>
      </c>
      <c r="E2543" t="s">
        <v>2549</v>
      </c>
      <c r="F2543" t="s"/>
      <c r="G2543" t="s"/>
      <c r="H2543" t="s"/>
      <c r="I2543" t="s"/>
      <c r="J2543" t="n">
        <v>0.4753</v>
      </c>
      <c r="K2543" t="n">
        <v>0</v>
      </c>
      <c r="L2543" t="n">
        <v>0.5639999999999999</v>
      </c>
      <c r="M2543" t="n">
        <v>0.436</v>
      </c>
    </row>
    <row r="2544" spans="1:13">
      <c r="A2544" s="1">
        <f>HYPERLINK("http://www.twitter.com/NathanBLawrence/status/989285071893946368", "989285071893946368")</f>
        <v/>
      </c>
      <c r="B2544" s="2" t="n">
        <v>43215.97818287037</v>
      </c>
      <c r="C2544" t="n">
        <v>0</v>
      </c>
      <c r="D2544" t="n">
        <v>52</v>
      </c>
      <c r="E2544" t="s">
        <v>2550</v>
      </c>
      <c r="F2544" t="s"/>
      <c r="G2544" t="s"/>
      <c r="H2544" t="s"/>
      <c r="I2544" t="s"/>
      <c r="J2544" t="n">
        <v>0.0193</v>
      </c>
      <c r="K2544" t="n">
        <v>0.209</v>
      </c>
      <c r="L2544" t="n">
        <v>0.579</v>
      </c>
      <c r="M2544" t="n">
        <v>0.213</v>
      </c>
    </row>
    <row r="2545" spans="1:13">
      <c r="A2545" s="1">
        <f>HYPERLINK("http://www.twitter.com/NathanBLawrence/status/989284964221894656", "989284964221894656")</f>
        <v/>
      </c>
      <c r="B2545" s="2" t="n">
        <v>43215.97789351852</v>
      </c>
      <c r="C2545" t="n">
        <v>0</v>
      </c>
      <c r="D2545" t="n">
        <v>18</v>
      </c>
      <c r="E2545" t="s">
        <v>2551</v>
      </c>
      <c r="F2545" t="s"/>
      <c r="G2545" t="s"/>
      <c r="H2545" t="s"/>
      <c r="I2545" t="s"/>
      <c r="J2545" t="n">
        <v>0.5461</v>
      </c>
      <c r="K2545" t="n">
        <v>0</v>
      </c>
      <c r="L2545" t="n">
        <v>0.819</v>
      </c>
      <c r="M2545" t="n">
        <v>0.181</v>
      </c>
    </row>
    <row r="2546" spans="1:13">
      <c r="A2546" s="1">
        <f>HYPERLINK("http://www.twitter.com/NathanBLawrence/status/989284339228729344", "989284339228729344")</f>
        <v/>
      </c>
      <c r="B2546" s="2" t="n">
        <v>43215.97616898148</v>
      </c>
      <c r="C2546" t="n">
        <v>0</v>
      </c>
      <c r="D2546" t="n">
        <v>503</v>
      </c>
      <c r="E2546" t="s">
        <v>2552</v>
      </c>
      <c r="F2546" t="s"/>
      <c r="G2546" t="s"/>
      <c r="H2546" t="s"/>
      <c r="I2546" t="s"/>
      <c r="J2546" t="n">
        <v>0</v>
      </c>
      <c r="K2546" t="n">
        <v>0</v>
      </c>
      <c r="L2546" t="n">
        <v>1</v>
      </c>
      <c r="M2546" t="n">
        <v>0</v>
      </c>
    </row>
    <row r="2547" spans="1:13">
      <c r="A2547" s="1">
        <f>HYPERLINK("http://www.twitter.com/NathanBLawrence/status/989284234278809600", "989284234278809600")</f>
        <v/>
      </c>
      <c r="B2547" s="2" t="n">
        <v>43215.97587962963</v>
      </c>
      <c r="C2547" t="n">
        <v>0</v>
      </c>
      <c r="D2547" t="n">
        <v>1091</v>
      </c>
      <c r="E2547" t="s">
        <v>2553</v>
      </c>
      <c r="F2547" t="s"/>
      <c r="G2547" t="s"/>
      <c r="H2547" t="s"/>
      <c r="I2547" t="s"/>
      <c r="J2547" t="n">
        <v>0</v>
      </c>
      <c r="K2547" t="n">
        <v>0</v>
      </c>
      <c r="L2547" t="n">
        <v>1</v>
      </c>
      <c r="M2547" t="n">
        <v>0</v>
      </c>
    </row>
    <row r="2548" spans="1:13">
      <c r="A2548" s="1">
        <f>HYPERLINK("http://www.twitter.com/NathanBLawrence/status/989284149788753921", "989284149788753921")</f>
        <v/>
      </c>
      <c r="B2548" s="2" t="n">
        <v>43215.97563657408</v>
      </c>
      <c r="C2548" t="n">
        <v>0</v>
      </c>
      <c r="D2548" t="n">
        <v>515</v>
      </c>
      <c r="E2548" t="s">
        <v>2554</v>
      </c>
      <c r="F2548" t="s"/>
      <c r="G2548" t="s"/>
      <c r="H2548" t="s"/>
      <c r="I2548" t="s"/>
      <c r="J2548" t="n">
        <v>-0.7351</v>
      </c>
      <c r="K2548" t="n">
        <v>0.248</v>
      </c>
      <c r="L2548" t="n">
        <v>0.68</v>
      </c>
      <c r="M2548" t="n">
        <v>0.07099999999999999</v>
      </c>
    </row>
    <row r="2549" spans="1:13">
      <c r="A2549" s="1">
        <f>HYPERLINK("http://www.twitter.com/NathanBLawrence/status/989283526137671680", "989283526137671680")</f>
        <v/>
      </c>
      <c r="B2549" s="2" t="n">
        <v>43215.97392361111</v>
      </c>
      <c r="C2549" t="n">
        <v>2</v>
      </c>
      <c r="D2549" t="n">
        <v>1</v>
      </c>
      <c r="E2549" t="s">
        <v>2555</v>
      </c>
      <c r="F2549" t="s"/>
      <c r="G2549" t="s"/>
      <c r="H2549" t="s"/>
      <c r="I2549" t="s"/>
      <c r="J2549" t="n">
        <v>0</v>
      </c>
      <c r="K2549" t="n">
        <v>0</v>
      </c>
      <c r="L2549" t="n">
        <v>1</v>
      </c>
      <c r="M2549" t="n">
        <v>0</v>
      </c>
    </row>
    <row r="2550" spans="1:13">
      <c r="A2550" s="1">
        <f>HYPERLINK("http://www.twitter.com/NathanBLawrence/status/989283223162122240", "989283223162122240")</f>
        <v/>
      </c>
      <c r="B2550" s="2" t="n">
        <v>43215.97309027778</v>
      </c>
      <c r="C2550" t="n">
        <v>0</v>
      </c>
      <c r="D2550" t="n">
        <v>25</v>
      </c>
      <c r="E2550" t="s">
        <v>2556</v>
      </c>
      <c r="F2550">
        <f>HYPERLINK("http://pbs.twimg.com/media/DbpLpd1XUAEWv5a.jpg", "http://pbs.twimg.com/media/DbpLpd1XUAEWv5a.jpg")</f>
        <v/>
      </c>
      <c r="G2550">
        <f>HYPERLINK("http://pbs.twimg.com/media/DbpLpd0X4AAoUkJ.jpg", "http://pbs.twimg.com/media/DbpLpd0X4AAoUkJ.jpg")</f>
        <v/>
      </c>
      <c r="H2550">
        <f>HYPERLINK("http://pbs.twimg.com/media/DbpLpd0XUAUOJp3.jpg", "http://pbs.twimg.com/media/DbpLpd0XUAUOJp3.jpg")</f>
        <v/>
      </c>
      <c r="I2550">
        <f>HYPERLINK("http://pbs.twimg.com/media/DbpLpd3WkAAJ87I.jpg", "http://pbs.twimg.com/media/DbpLpd3WkAAJ87I.jpg")</f>
        <v/>
      </c>
      <c r="J2550" t="n">
        <v>-0.7906</v>
      </c>
      <c r="K2550" t="n">
        <v>0.269</v>
      </c>
      <c r="L2550" t="n">
        <v>0.731</v>
      </c>
      <c r="M2550" t="n">
        <v>0</v>
      </c>
    </row>
    <row r="2551" spans="1:13">
      <c r="A2551" s="1">
        <f>HYPERLINK("http://www.twitter.com/NathanBLawrence/status/989282802687356928", "989282802687356928")</f>
        <v/>
      </c>
      <c r="B2551" s="2" t="n">
        <v>43215.9719212963</v>
      </c>
      <c r="C2551" t="n">
        <v>0</v>
      </c>
      <c r="D2551" t="n">
        <v>560</v>
      </c>
      <c r="E2551" t="s">
        <v>2557</v>
      </c>
      <c r="F2551" t="s"/>
      <c r="G2551" t="s"/>
      <c r="H2551" t="s"/>
      <c r="I2551" t="s"/>
      <c r="J2551" t="n">
        <v>0</v>
      </c>
      <c r="K2551" t="n">
        <v>0</v>
      </c>
      <c r="L2551" t="n">
        <v>1</v>
      </c>
      <c r="M2551" t="n">
        <v>0</v>
      </c>
    </row>
    <row r="2552" spans="1:13">
      <c r="A2552" s="1">
        <f>HYPERLINK("http://www.twitter.com/NathanBLawrence/status/989282024157409280", "989282024157409280")</f>
        <v/>
      </c>
      <c r="B2552" s="2" t="n">
        <v>43215.96978009259</v>
      </c>
      <c r="C2552" t="n">
        <v>0</v>
      </c>
      <c r="D2552" t="n">
        <v>264</v>
      </c>
      <c r="E2552" t="s">
        <v>2558</v>
      </c>
      <c r="F2552">
        <f>HYPERLINK("https://video.twimg.com/ext_tw_video/989231976187092994/pu/vid/320x180/WPmqyrpQcWSaYoL2.mp4?tag=3", "https://video.twimg.com/ext_tw_video/989231976187092994/pu/vid/320x180/WPmqyrpQcWSaYoL2.mp4?tag=3")</f>
        <v/>
      </c>
      <c r="G2552" t="s"/>
      <c r="H2552" t="s"/>
      <c r="I2552" t="s"/>
      <c r="J2552" t="n">
        <v>0.5859</v>
      </c>
      <c r="K2552" t="n">
        <v>0</v>
      </c>
      <c r="L2552" t="n">
        <v>0.678</v>
      </c>
      <c r="M2552" t="n">
        <v>0.322</v>
      </c>
    </row>
    <row r="2553" spans="1:13">
      <c r="A2553" s="1">
        <f>HYPERLINK("http://www.twitter.com/NathanBLawrence/status/989281782557097984", "989281782557097984")</f>
        <v/>
      </c>
      <c r="B2553" s="2" t="n">
        <v>43215.96910879629</v>
      </c>
      <c r="C2553" t="n">
        <v>0</v>
      </c>
      <c r="D2553" t="n">
        <v>234</v>
      </c>
      <c r="E2553" t="s">
        <v>2559</v>
      </c>
      <c r="F2553" t="s"/>
      <c r="G2553" t="s"/>
      <c r="H2553" t="s"/>
      <c r="I2553" t="s"/>
      <c r="J2553" t="n">
        <v>0</v>
      </c>
      <c r="K2553" t="n">
        <v>0</v>
      </c>
      <c r="L2553" t="n">
        <v>1</v>
      </c>
      <c r="M2553" t="n">
        <v>0</v>
      </c>
    </row>
    <row r="2554" spans="1:13">
      <c r="A2554" s="1">
        <f>HYPERLINK("http://www.twitter.com/NathanBLawrence/status/989281660544860160", "989281660544860160")</f>
        <v/>
      </c>
      <c r="B2554" s="2" t="n">
        <v>43215.96877314815</v>
      </c>
      <c r="C2554" t="n">
        <v>0</v>
      </c>
      <c r="D2554" t="n">
        <v>316</v>
      </c>
      <c r="E2554" t="s">
        <v>2560</v>
      </c>
      <c r="F2554">
        <f>HYPERLINK("http://pbs.twimg.com/media/Dbp0MDEW0Acj9Ea.jpg", "http://pbs.twimg.com/media/Dbp0MDEW0Acj9Ea.jpg")</f>
        <v/>
      </c>
      <c r="G2554" t="s"/>
      <c r="H2554" t="s"/>
      <c r="I2554" t="s"/>
      <c r="J2554" t="n">
        <v>0</v>
      </c>
      <c r="K2554" t="n">
        <v>0</v>
      </c>
      <c r="L2554" t="n">
        <v>1</v>
      </c>
      <c r="M2554" t="n">
        <v>0</v>
      </c>
    </row>
    <row r="2555" spans="1:13">
      <c r="A2555" s="1">
        <f>HYPERLINK("http://www.twitter.com/NathanBLawrence/status/989280796547543040", "989280796547543040")</f>
        <v/>
      </c>
      <c r="B2555" s="2" t="n">
        <v>43215.96638888889</v>
      </c>
      <c r="C2555" t="n">
        <v>0</v>
      </c>
      <c r="D2555" t="n">
        <v>3</v>
      </c>
      <c r="E2555" t="s">
        <v>2561</v>
      </c>
      <c r="F2555">
        <f>HYPERLINK("http://pbs.twimg.com/media/DbpzWD0WAAEASj9.jpg", "http://pbs.twimg.com/media/DbpzWD0WAAEASj9.jpg")</f>
        <v/>
      </c>
      <c r="G2555" t="s"/>
      <c r="H2555" t="s"/>
      <c r="I2555" t="s"/>
      <c r="J2555" t="n">
        <v>0</v>
      </c>
      <c r="K2555" t="n">
        <v>0</v>
      </c>
      <c r="L2555" t="n">
        <v>1</v>
      </c>
      <c r="M2555" t="n">
        <v>0</v>
      </c>
    </row>
    <row r="2556" spans="1:13">
      <c r="A2556" s="1">
        <f>HYPERLINK("http://www.twitter.com/NathanBLawrence/status/989280675751587840", "989280675751587840")</f>
        <v/>
      </c>
      <c r="B2556" s="2" t="n">
        <v>43215.96605324074</v>
      </c>
      <c r="C2556" t="n">
        <v>0</v>
      </c>
      <c r="D2556" t="n">
        <v>346</v>
      </c>
      <c r="E2556" t="s">
        <v>2562</v>
      </c>
      <c r="F2556" t="s"/>
      <c r="G2556" t="s"/>
      <c r="H2556" t="s"/>
      <c r="I2556" t="s"/>
      <c r="J2556" t="n">
        <v>0.516</v>
      </c>
      <c r="K2556" t="n">
        <v>0</v>
      </c>
      <c r="L2556" t="n">
        <v>0.851</v>
      </c>
      <c r="M2556" t="n">
        <v>0.149</v>
      </c>
    </row>
    <row r="2557" spans="1:13">
      <c r="A2557" s="1">
        <f>HYPERLINK("http://www.twitter.com/NathanBLawrence/status/989280121512083456", "989280121512083456")</f>
        <v/>
      </c>
      <c r="B2557" s="2" t="n">
        <v>43215.96452546296</v>
      </c>
      <c r="C2557" t="n">
        <v>0</v>
      </c>
      <c r="D2557" t="n">
        <v>342</v>
      </c>
      <c r="E2557" t="s">
        <v>2563</v>
      </c>
      <c r="F2557" t="s"/>
      <c r="G2557" t="s"/>
      <c r="H2557" t="s"/>
      <c r="I2557" t="s"/>
      <c r="J2557" t="n">
        <v>-0.5574</v>
      </c>
      <c r="K2557" t="n">
        <v>0.217</v>
      </c>
      <c r="L2557" t="n">
        <v>0.783</v>
      </c>
      <c r="M2557" t="n">
        <v>0</v>
      </c>
    </row>
    <row r="2558" spans="1:13">
      <c r="A2558" s="1">
        <f>HYPERLINK("http://www.twitter.com/NathanBLawrence/status/989279913680121856", "989279913680121856")</f>
        <v/>
      </c>
      <c r="B2558" s="2" t="n">
        <v>43215.96395833333</v>
      </c>
      <c r="C2558" t="n">
        <v>0</v>
      </c>
      <c r="D2558" t="n">
        <v>60122</v>
      </c>
      <c r="E2558" t="s">
        <v>2564</v>
      </c>
      <c r="F2558">
        <f>HYPERLINK("http://pbs.twimg.com/media/Dbpw2J4UwAA9vzT.jpg", "http://pbs.twimg.com/media/Dbpw2J4UwAA9vzT.jpg")</f>
        <v/>
      </c>
      <c r="G2558" t="s"/>
      <c r="H2558" t="s"/>
      <c r="I2558" t="s"/>
      <c r="J2558" t="n">
        <v>0</v>
      </c>
      <c r="K2558" t="n">
        <v>0</v>
      </c>
      <c r="L2558" t="n">
        <v>1</v>
      </c>
      <c r="M2558" t="n">
        <v>0</v>
      </c>
    </row>
    <row r="2559" spans="1:13">
      <c r="A2559" s="1">
        <f>HYPERLINK("http://www.twitter.com/NathanBLawrence/status/989279820872744961", "989279820872744961")</f>
        <v/>
      </c>
      <c r="B2559" s="2" t="n">
        <v>43215.96369212963</v>
      </c>
      <c r="C2559" t="n">
        <v>0</v>
      </c>
      <c r="D2559" t="n">
        <v>628</v>
      </c>
      <c r="E2559" t="s">
        <v>2565</v>
      </c>
      <c r="F2559" t="s"/>
      <c r="G2559" t="s"/>
      <c r="H2559" t="s"/>
      <c r="I2559" t="s"/>
      <c r="J2559" t="n">
        <v>0</v>
      </c>
      <c r="K2559" t="n">
        <v>0</v>
      </c>
      <c r="L2559" t="n">
        <v>1</v>
      </c>
      <c r="M2559" t="n">
        <v>0</v>
      </c>
    </row>
    <row r="2560" spans="1:13">
      <c r="A2560" s="1">
        <f>HYPERLINK("http://www.twitter.com/NathanBLawrence/status/989279752425893888", "989279752425893888")</f>
        <v/>
      </c>
      <c r="B2560" s="2" t="n">
        <v>43215.96350694444</v>
      </c>
      <c r="C2560" t="n">
        <v>0</v>
      </c>
      <c r="D2560" t="n">
        <v>31</v>
      </c>
      <c r="E2560" t="s">
        <v>2566</v>
      </c>
      <c r="F2560" t="s"/>
      <c r="G2560" t="s"/>
      <c r="H2560" t="s"/>
      <c r="I2560" t="s"/>
      <c r="J2560" t="n">
        <v>0</v>
      </c>
      <c r="K2560" t="n">
        <v>0</v>
      </c>
      <c r="L2560" t="n">
        <v>1</v>
      </c>
      <c r="M2560" t="n">
        <v>0</v>
      </c>
    </row>
    <row r="2561" spans="1:13">
      <c r="A2561" s="1">
        <f>HYPERLINK("http://www.twitter.com/NathanBLawrence/status/989279706418573312", "989279706418573312")</f>
        <v/>
      </c>
      <c r="B2561" s="2" t="n">
        <v>43215.96337962963</v>
      </c>
      <c r="C2561" t="n">
        <v>0</v>
      </c>
      <c r="D2561" t="n">
        <v>175</v>
      </c>
      <c r="E2561" t="s">
        <v>2567</v>
      </c>
      <c r="F2561" t="s"/>
      <c r="G2561" t="s"/>
      <c r="H2561" t="s"/>
      <c r="I2561" t="s"/>
      <c r="J2561" t="n">
        <v>0</v>
      </c>
      <c r="K2561" t="n">
        <v>0</v>
      </c>
      <c r="L2561" t="n">
        <v>1</v>
      </c>
      <c r="M2561" t="n">
        <v>0</v>
      </c>
    </row>
    <row r="2562" spans="1:13">
      <c r="A2562" s="1">
        <f>HYPERLINK("http://www.twitter.com/NathanBLawrence/status/989279610197102592", "989279610197102592")</f>
        <v/>
      </c>
      <c r="B2562" s="2" t="n">
        <v>43215.96311342593</v>
      </c>
      <c r="C2562" t="n">
        <v>0</v>
      </c>
      <c r="D2562" t="n">
        <v>914</v>
      </c>
      <c r="E2562" t="s">
        <v>2568</v>
      </c>
      <c r="F2562" t="s"/>
      <c r="G2562" t="s"/>
      <c r="H2562" t="s"/>
      <c r="I2562" t="s"/>
      <c r="J2562" t="n">
        <v>-0.4404</v>
      </c>
      <c r="K2562" t="n">
        <v>0.153</v>
      </c>
      <c r="L2562" t="n">
        <v>0.847</v>
      </c>
      <c r="M2562" t="n">
        <v>0</v>
      </c>
    </row>
    <row r="2563" spans="1:13">
      <c r="A2563" s="1">
        <f>HYPERLINK("http://www.twitter.com/NathanBLawrence/status/989279477199917056", "989279477199917056")</f>
        <v/>
      </c>
      <c r="B2563" s="2" t="n">
        <v>43215.96274305556</v>
      </c>
      <c r="C2563" t="n">
        <v>0</v>
      </c>
      <c r="D2563" t="n">
        <v>106</v>
      </c>
      <c r="E2563" t="s">
        <v>2569</v>
      </c>
      <c r="F2563" t="s"/>
      <c r="G2563" t="s"/>
      <c r="H2563" t="s"/>
      <c r="I2563" t="s"/>
      <c r="J2563" t="n">
        <v>-0.34</v>
      </c>
      <c r="K2563" t="n">
        <v>0.107</v>
      </c>
      <c r="L2563" t="n">
        <v>0.893</v>
      </c>
      <c r="M2563" t="n">
        <v>0</v>
      </c>
    </row>
    <row r="2564" spans="1:13">
      <c r="A2564" s="1">
        <f>HYPERLINK("http://www.twitter.com/NathanBLawrence/status/989278858858844160", "989278858858844160")</f>
        <v/>
      </c>
      <c r="B2564" s="2" t="n">
        <v>43215.96104166667</v>
      </c>
      <c r="C2564" t="n">
        <v>0</v>
      </c>
      <c r="D2564" t="n">
        <v>8993</v>
      </c>
      <c r="E2564" t="s">
        <v>2570</v>
      </c>
      <c r="F2564" t="s"/>
      <c r="G2564" t="s"/>
      <c r="H2564" t="s"/>
      <c r="I2564" t="s"/>
      <c r="J2564" t="n">
        <v>0</v>
      </c>
      <c r="K2564" t="n">
        <v>0</v>
      </c>
      <c r="L2564" t="n">
        <v>1</v>
      </c>
      <c r="M2564" t="n">
        <v>0</v>
      </c>
    </row>
    <row r="2565" spans="1:13">
      <c r="A2565" s="1">
        <f>HYPERLINK("http://www.twitter.com/NathanBLawrence/status/989278808464224256", "989278808464224256")</f>
        <v/>
      </c>
      <c r="B2565" s="2" t="n">
        <v>43215.96090277778</v>
      </c>
      <c r="C2565" t="n">
        <v>1</v>
      </c>
      <c r="D2565" t="n">
        <v>1</v>
      </c>
      <c r="E2565" t="s">
        <v>2571</v>
      </c>
      <c r="F2565" t="s"/>
      <c r="G2565" t="s"/>
      <c r="H2565" t="s"/>
      <c r="I2565" t="s"/>
      <c r="J2565" t="n">
        <v>-0.6369</v>
      </c>
      <c r="K2565" t="n">
        <v>0.176</v>
      </c>
      <c r="L2565" t="n">
        <v>0.824</v>
      </c>
      <c r="M2565" t="n">
        <v>0</v>
      </c>
    </row>
    <row r="2566" spans="1:13">
      <c r="A2566" s="1">
        <f>HYPERLINK("http://www.twitter.com/NathanBLawrence/status/989248596737429505", "989248596737429505")</f>
        <v/>
      </c>
      <c r="B2566" s="2" t="n">
        <v>43215.87753472223</v>
      </c>
      <c r="C2566" t="n">
        <v>0</v>
      </c>
      <c r="D2566" t="n">
        <v>0</v>
      </c>
      <c r="E2566" t="s">
        <v>2572</v>
      </c>
      <c r="F2566" t="s"/>
      <c r="G2566" t="s"/>
      <c r="H2566" t="s"/>
      <c r="I2566" t="s"/>
      <c r="J2566" t="n">
        <v>0.3182</v>
      </c>
      <c r="K2566" t="n">
        <v>0</v>
      </c>
      <c r="L2566" t="n">
        <v>0.635</v>
      </c>
      <c r="M2566" t="n">
        <v>0.365</v>
      </c>
    </row>
    <row r="2567" spans="1:13">
      <c r="A2567" s="1">
        <f>HYPERLINK("http://www.twitter.com/NathanBLawrence/status/989248141743575041", "989248141743575041")</f>
        <v/>
      </c>
      <c r="B2567" s="2" t="n">
        <v>43215.87627314815</v>
      </c>
      <c r="C2567" t="n">
        <v>0</v>
      </c>
      <c r="D2567" t="n">
        <v>93</v>
      </c>
      <c r="E2567" t="s">
        <v>2573</v>
      </c>
      <c r="F2567" t="s"/>
      <c r="G2567" t="s"/>
      <c r="H2567" t="s"/>
      <c r="I2567" t="s"/>
      <c r="J2567" t="n">
        <v>0.1027</v>
      </c>
      <c r="K2567" t="n">
        <v>0.145</v>
      </c>
      <c r="L2567" t="n">
        <v>0.6919999999999999</v>
      </c>
      <c r="M2567" t="n">
        <v>0.163</v>
      </c>
    </row>
    <row r="2568" spans="1:13">
      <c r="A2568" s="1">
        <f>HYPERLINK("http://www.twitter.com/NathanBLawrence/status/989247998109642752", "989247998109642752")</f>
        <v/>
      </c>
      <c r="B2568" s="2" t="n">
        <v>43215.87587962963</v>
      </c>
      <c r="C2568" t="n">
        <v>0</v>
      </c>
      <c r="D2568" t="n">
        <v>622</v>
      </c>
      <c r="E2568" t="s">
        <v>2574</v>
      </c>
      <c r="F2568" t="s"/>
      <c r="G2568" t="s"/>
      <c r="H2568" t="s"/>
      <c r="I2568" t="s"/>
      <c r="J2568" t="n">
        <v>0.0857</v>
      </c>
      <c r="K2568" t="n">
        <v>0.099</v>
      </c>
      <c r="L2568" t="n">
        <v>0.784</v>
      </c>
      <c r="M2568" t="n">
        <v>0.117</v>
      </c>
    </row>
    <row r="2569" spans="1:13">
      <c r="A2569" s="1">
        <f>HYPERLINK("http://www.twitter.com/NathanBLawrence/status/989247875208105984", "989247875208105984")</f>
        <v/>
      </c>
      <c r="B2569" s="2" t="n">
        <v>43215.87554398148</v>
      </c>
      <c r="C2569" t="n">
        <v>2</v>
      </c>
      <c r="D2569" t="n">
        <v>0</v>
      </c>
      <c r="E2569" t="s">
        <v>2575</v>
      </c>
      <c r="F2569" t="s"/>
      <c r="G2569" t="s"/>
      <c r="H2569" t="s"/>
      <c r="I2569" t="s"/>
      <c r="J2569" t="n">
        <v>0.6705</v>
      </c>
      <c r="K2569" t="n">
        <v>0</v>
      </c>
      <c r="L2569" t="n">
        <v>0.744</v>
      </c>
      <c r="M2569" t="n">
        <v>0.256</v>
      </c>
    </row>
    <row r="2570" spans="1:13">
      <c r="A2570" s="1">
        <f>HYPERLINK("http://www.twitter.com/NathanBLawrence/status/989247038738063360", "989247038738063360")</f>
        <v/>
      </c>
      <c r="B2570" s="2" t="n">
        <v>43215.87324074074</v>
      </c>
      <c r="C2570" t="n">
        <v>2</v>
      </c>
      <c r="D2570" t="n">
        <v>1</v>
      </c>
      <c r="E2570" t="s">
        <v>2576</v>
      </c>
      <c r="F2570" t="s"/>
      <c r="G2570" t="s"/>
      <c r="H2570" t="s"/>
      <c r="I2570" t="s"/>
      <c r="J2570" t="n">
        <v>0</v>
      </c>
      <c r="K2570" t="n">
        <v>0</v>
      </c>
      <c r="L2570" t="n">
        <v>1</v>
      </c>
      <c r="M2570" t="n">
        <v>0</v>
      </c>
    </row>
    <row r="2571" spans="1:13">
      <c r="A2571" s="1">
        <f>HYPERLINK("http://www.twitter.com/NathanBLawrence/status/989246684864634880", "989246684864634880")</f>
        <v/>
      </c>
      <c r="B2571" s="2" t="n">
        <v>43215.87225694444</v>
      </c>
      <c r="C2571" t="n">
        <v>0</v>
      </c>
      <c r="D2571" t="n">
        <v>33</v>
      </c>
      <c r="E2571" t="s">
        <v>2577</v>
      </c>
      <c r="F2571" t="s"/>
      <c r="G2571" t="s"/>
      <c r="H2571" t="s"/>
      <c r="I2571" t="s"/>
      <c r="J2571" t="n">
        <v>-0.3818</v>
      </c>
      <c r="K2571" t="n">
        <v>0.233</v>
      </c>
      <c r="L2571" t="n">
        <v>0.63</v>
      </c>
      <c r="M2571" t="n">
        <v>0.137</v>
      </c>
    </row>
    <row r="2572" spans="1:13">
      <c r="A2572" s="1">
        <f>HYPERLINK("http://www.twitter.com/NathanBLawrence/status/989246475099090944", "989246475099090944")</f>
        <v/>
      </c>
      <c r="B2572" s="2" t="n">
        <v>43215.87167824074</v>
      </c>
      <c r="C2572" t="n">
        <v>0</v>
      </c>
      <c r="D2572" t="n">
        <v>2542</v>
      </c>
      <c r="E2572" t="s">
        <v>2578</v>
      </c>
      <c r="F2572" t="s"/>
      <c r="G2572" t="s"/>
      <c r="H2572" t="s"/>
      <c r="I2572" t="s"/>
      <c r="J2572" t="n">
        <v>0</v>
      </c>
      <c r="K2572" t="n">
        <v>0</v>
      </c>
      <c r="L2572" t="n">
        <v>1</v>
      </c>
      <c r="M2572" t="n">
        <v>0</v>
      </c>
    </row>
    <row r="2573" spans="1:13">
      <c r="A2573" s="1">
        <f>HYPERLINK("http://www.twitter.com/NathanBLawrence/status/989238828043878400", "989238828043878400")</f>
        <v/>
      </c>
      <c r="B2573" s="2" t="n">
        <v>43215.85057870371</v>
      </c>
      <c r="C2573" t="n">
        <v>0</v>
      </c>
      <c r="D2573" t="n">
        <v>1504</v>
      </c>
      <c r="E2573" t="s">
        <v>2579</v>
      </c>
      <c r="F2573" t="s"/>
      <c r="G2573" t="s"/>
      <c r="H2573" t="s"/>
      <c r="I2573" t="s"/>
      <c r="J2573" t="n">
        <v>0</v>
      </c>
      <c r="K2573" t="n">
        <v>0</v>
      </c>
      <c r="L2573" t="n">
        <v>1</v>
      </c>
      <c r="M2573" t="n">
        <v>0</v>
      </c>
    </row>
    <row r="2574" spans="1:13">
      <c r="A2574" s="1">
        <f>HYPERLINK("http://www.twitter.com/NathanBLawrence/status/989237698475913216", "989237698475913216")</f>
        <v/>
      </c>
      <c r="B2574" s="2" t="n">
        <v>43215.84746527778</v>
      </c>
      <c r="C2574" t="n">
        <v>0</v>
      </c>
      <c r="D2574" t="n">
        <v>108130</v>
      </c>
      <c r="E2574" t="s">
        <v>2580</v>
      </c>
      <c r="F2574" t="s"/>
      <c r="G2574" t="s"/>
      <c r="H2574" t="s"/>
      <c r="I2574" t="s"/>
      <c r="J2574" t="n">
        <v>0.6581</v>
      </c>
      <c r="K2574" t="n">
        <v>0</v>
      </c>
      <c r="L2574" t="n">
        <v>0.527</v>
      </c>
      <c r="M2574" t="n">
        <v>0.473</v>
      </c>
    </row>
    <row r="2575" spans="1:13">
      <c r="A2575" s="1">
        <f>HYPERLINK("http://www.twitter.com/NathanBLawrence/status/989236389685248001", "989236389685248001")</f>
        <v/>
      </c>
      <c r="B2575" s="2" t="n">
        <v>43215.84385416667</v>
      </c>
      <c r="C2575" t="n">
        <v>0</v>
      </c>
      <c r="D2575" t="n">
        <v>4160</v>
      </c>
      <c r="E2575" t="s">
        <v>2581</v>
      </c>
      <c r="F2575">
        <f>HYPERLINK("http://pbs.twimg.com/media/DbmP7olWAAAyQ4J.jpg", "http://pbs.twimg.com/media/DbmP7olWAAAyQ4J.jpg")</f>
        <v/>
      </c>
      <c r="G2575" t="s"/>
      <c r="H2575" t="s"/>
      <c r="I2575" t="s"/>
      <c r="J2575" t="n">
        <v>0.636</v>
      </c>
      <c r="K2575" t="n">
        <v>0</v>
      </c>
      <c r="L2575" t="n">
        <v>0.8110000000000001</v>
      </c>
      <c r="M2575" t="n">
        <v>0.189</v>
      </c>
    </row>
    <row r="2576" spans="1:13">
      <c r="A2576" s="1">
        <f>HYPERLINK("http://www.twitter.com/NathanBLawrence/status/989236299335790592", "989236299335790592")</f>
        <v/>
      </c>
      <c r="B2576" s="2" t="n">
        <v>43215.84359953704</v>
      </c>
      <c r="C2576" t="n">
        <v>0</v>
      </c>
      <c r="D2576" t="n">
        <v>10</v>
      </c>
      <c r="E2576" t="s">
        <v>2582</v>
      </c>
      <c r="F2576" t="s"/>
      <c r="G2576" t="s"/>
      <c r="H2576" t="s"/>
      <c r="I2576" t="s"/>
      <c r="J2576" t="n">
        <v>-0.3753</v>
      </c>
      <c r="K2576" t="n">
        <v>0.105</v>
      </c>
      <c r="L2576" t="n">
        <v>0.895</v>
      </c>
      <c r="M2576" t="n">
        <v>0</v>
      </c>
    </row>
    <row r="2577" spans="1:13">
      <c r="A2577" s="1">
        <f>HYPERLINK("http://www.twitter.com/NathanBLawrence/status/989235822724444160", "989235822724444160")</f>
        <v/>
      </c>
      <c r="B2577" s="2" t="n">
        <v>43215.84228009259</v>
      </c>
      <c r="C2577" t="n">
        <v>0</v>
      </c>
      <c r="D2577" t="n">
        <v>3711</v>
      </c>
      <c r="E2577" t="s">
        <v>2583</v>
      </c>
      <c r="F2577" t="s"/>
      <c r="G2577" t="s"/>
      <c r="H2577" t="s"/>
      <c r="I2577" t="s"/>
      <c r="J2577" t="n">
        <v>0.0323</v>
      </c>
      <c r="K2577" t="n">
        <v>0</v>
      </c>
      <c r="L2577" t="n">
        <v>0.9409999999999999</v>
      </c>
      <c r="M2577" t="n">
        <v>0.059</v>
      </c>
    </row>
    <row r="2578" spans="1:13">
      <c r="A2578" s="1">
        <f>HYPERLINK("http://www.twitter.com/NathanBLawrence/status/989234537287770112", "989234537287770112")</f>
        <v/>
      </c>
      <c r="B2578" s="2" t="n">
        <v>43215.83873842593</v>
      </c>
      <c r="C2578" t="n">
        <v>6</v>
      </c>
      <c r="D2578" t="n">
        <v>6</v>
      </c>
      <c r="E2578" t="s">
        <v>2584</v>
      </c>
      <c r="F2578" t="s"/>
      <c r="G2578" t="s"/>
      <c r="H2578" t="s"/>
      <c r="I2578" t="s"/>
      <c r="J2578" t="n">
        <v>0</v>
      </c>
      <c r="K2578" t="n">
        <v>0</v>
      </c>
      <c r="L2578" t="n">
        <v>1</v>
      </c>
      <c r="M2578" t="n">
        <v>0</v>
      </c>
    </row>
    <row r="2579" spans="1:13">
      <c r="A2579" s="1">
        <f>HYPERLINK("http://www.twitter.com/NathanBLawrence/status/989232182936846336", "989232182936846336")</f>
        <v/>
      </c>
      <c r="B2579" s="2" t="n">
        <v>43215.83224537037</v>
      </c>
      <c r="C2579" t="n">
        <v>0</v>
      </c>
      <c r="D2579" t="n">
        <v>1</v>
      </c>
      <c r="E2579" t="s">
        <v>2585</v>
      </c>
      <c r="F2579" t="s"/>
      <c r="G2579" t="s"/>
      <c r="H2579" t="s"/>
      <c r="I2579" t="s"/>
      <c r="J2579" t="n">
        <v>0</v>
      </c>
      <c r="K2579" t="n">
        <v>0</v>
      </c>
      <c r="L2579" t="n">
        <v>1</v>
      </c>
      <c r="M2579" t="n">
        <v>0</v>
      </c>
    </row>
    <row r="2580" spans="1:13">
      <c r="A2580" s="1">
        <f>HYPERLINK("http://www.twitter.com/NathanBLawrence/status/989232154948259840", "989232154948259840")</f>
        <v/>
      </c>
      <c r="B2580" s="2" t="n">
        <v>43215.83216435185</v>
      </c>
      <c r="C2580" t="n">
        <v>0</v>
      </c>
      <c r="D2580" t="n">
        <v>1</v>
      </c>
      <c r="E2580" t="s">
        <v>2586</v>
      </c>
      <c r="F2580" t="s"/>
      <c r="G2580" t="s"/>
      <c r="H2580" t="s"/>
      <c r="I2580" t="s"/>
      <c r="J2580" t="n">
        <v>-0.0258</v>
      </c>
      <c r="K2580" t="n">
        <v>0.114</v>
      </c>
      <c r="L2580" t="n">
        <v>0.774</v>
      </c>
      <c r="M2580" t="n">
        <v>0.111</v>
      </c>
    </row>
    <row r="2581" spans="1:13">
      <c r="A2581" s="1">
        <f>HYPERLINK("http://www.twitter.com/NathanBLawrence/status/989231816174272512", "989231816174272512")</f>
        <v/>
      </c>
      <c r="B2581" s="2" t="n">
        <v>43215.83122685185</v>
      </c>
      <c r="C2581" t="n">
        <v>0</v>
      </c>
      <c r="D2581" t="n">
        <v>0</v>
      </c>
      <c r="E2581" t="s">
        <v>2587</v>
      </c>
      <c r="F2581" t="s"/>
      <c r="G2581" t="s"/>
      <c r="H2581" t="s"/>
      <c r="I2581" t="s"/>
      <c r="J2581" t="n">
        <v>-0.0258</v>
      </c>
      <c r="K2581" t="n">
        <v>0.114</v>
      </c>
      <c r="L2581" t="n">
        <v>0.774</v>
      </c>
      <c r="M2581" t="n">
        <v>0.111</v>
      </c>
    </row>
    <row r="2582" spans="1:13">
      <c r="A2582" s="1">
        <f>HYPERLINK("http://www.twitter.com/NathanBLawrence/status/989231601274966016", "989231601274966016")</f>
        <v/>
      </c>
      <c r="B2582" s="2" t="n">
        <v>43215.83063657407</v>
      </c>
      <c r="C2582" t="n">
        <v>0</v>
      </c>
      <c r="D2582" t="n">
        <v>3</v>
      </c>
      <c r="E2582" t="s">
        <v>2588</v>
      </c>
      <c r="F2582" t="s"/>
      <c r="G2582" t="s"/>
      <c r="H2582" t="s"/>
      <c r="I2582" t="s"/>
      <c r="J2582" t="n">
        <v>-0.8270999999999999</v>
      </c>
      <c r="K2582" t="n">
        <v>0.278</v>
      </c>
      <c r="L2582" t="n">
        <v>0.722</v>
      </c>
      <c r="M2582" t="n">
        <v>0</v>
      </c>
    </row>
    <row r="2583" spans="1:13">
      <c r="A2583" s="1">
        <f>HYPERLINK("http://www.twitter.com/NathanBLawrence/status/989231573319872512", "989231573319872512")</f>
        <v/>
      </c>
      <c r="B2583" s="2" t="n">
        <v>43215.83055555556</v>
      </c>
      <c r="C2583" t="n">
        <v>0</v>
      </c>
      <c r="D2583" t="n">
        <v>1</v>
      </c>
      <c r="E2583" t="s">
        <v>2589</v>
      </c>
      <c r="F2583" t="s"/>
      <c r="G2583" t="s"/>
      <c r="H2583" t="s"/>
      <c r="I2583" t="s"/>
      <c r="J2583" t="n">
        <v>0</v>
      </c>
      <c r="K2583" t="n">
        <v>0</v>
      </c>
      <c r="L2583" t="n">
        <v>1</v>
      </c>
      <c r="M2583" t="n">
        <v>0</v>
      </c>
    </row>
    <row r="2584" spans="1:13">
      <c r="A2584" s="1">
        <f>HYPERLINK("http://www.twitter.com/NathanBLawrence/status/989231297074626560", "989231297074626560")</f>
        <v/>
      </c>
      <c r="B2584" s="2" t="n">
        <v>43215.82979166666</v>
      </c>
      <c r="C2584" t="n">
        <v>1</v>
      </c>
      <c r="D2584" t="n">
        <v>0</v>
      </c>
      <c r="E2584" t="s">
        <v>2590</v>
      </c>
      <c r="F2584" t="s"/>
      <c r="G2584" t="s"/>
      <c r="H2584" t="s"/>
      <c r="I2584" t="s"/>
      <c r="J2584" t="n">
        <v>-0.0258</v>
      </c>
      <c r="K2584" t="n">
        <v>0.095</v>
      </c>
      <c r="L2584" t="n">
        <v>0.8120000000000001</v>
      </c>
      <c r="M2584" t="n">
        <v>0.092</v>
      </c>
    </row>
    <row r="2585" spans="1:13">
      <c r="A2585" s="1">
        <f>HYPERLINK("http://www.twitter.com/NathanBLawrence/status/989224874643111936", "989224874643111936")</f>
        <v/>
      </c>
      <c r="B2585" s="2" t="n">
        <v>43215.81207175926</v>
      </c>
      <c r="C2585" t="n">
        <v>5</v>
      </c>
      <c r="D2585" t="n">
        <v>3</v>
      </c>
      <c r="E2585" t="s">
        <v>2591</v>
      </c>
      <c r="F2585" t="s"/>
      <c r="G2585" t="s"/>
      <c r="H2585" t="s"/>
      <c r="I2585" t="s"/>
      <c r="J2585" t="n">
        <v>-0.9540999999999999</v>
      </c>
      <c r="K2585" t="n">
        <v>0.364</v>
      </c>
      <c r="L2585" t="n">
        <v>0.636</v>
      </c>
      <c r="M2585" t="n">
        <v>0</v>
      </c>
    </row>
    <row r="2586" spans="1:13">
      <c r="A2586" s="1">
        <f>HYPERLINK("http://www.twitter.com/NathanBLawrence/status/989221585239228416", "989221585239228416")</f>
        <v/>
      </c>
      <c r="B2586" s="2" t="n">
        <v>43215.80299768518</v>
      </c>
      <c r="C2586" t="n">
        <v>1</v>
      </c>
      <c r="D2586" t="n">
        <v>1</v>
      </c>
      <c r="E2586" t="s">
        <v>2592</v>
      </c>
      <c r="F2586" t="s"/>
      <c r="G2586" t="s"/>
      <c r="H2586" t="s"/>
      <c r="I2586" t="s"/>
      <c r="J2586" t="n">
        <v>0.3612</v>
      </c>
      <c r="K2586" t="n">
        <v>0</v>
      </c>
      <c r="L2586" t="n">
        <v>0.945</v>
      </c>
      <c r="M2586" t="n">
        <v>0.055</v>
      </c>
    </row>
    <row r="2587" spans="1:13">
      <c r="A2587" s="1">
        <f>HYPERLINK("http://www.twitter.com/NathanBLawrence/status/989211997228228608", "989211997228228608")</f>
        <v/>
      </c>
      <c r="B2587" s="2" t="n">
        <v>43215.77653935185</v>
      </c>
      <c r="C2587" t="n">
        <v>0</v>
      </c>
      <c r="D2587" t="n">
        <v>984</v>
      </c>
      <c r="E2587" t="s">
        <v>2593</v>
      </c>
      <c r="F2587">
        <f>HYPERLINK("http://pbs.twimg.com/media/DbjlNWgXkAAnb7c.jpg", "http://pbs.twimg.com/media/DbjlNWgXkAAnb7c.jpg")</f>
        <v/>
      </c>
      <c r="G2587">
        <f>HYPERLINK("http://pbs.twimg.com/media/DbjlZsuW0AIeHEm.jpg", "http://pbs.twimg.com/media/DbjlZsuW0AIeHEm.jpg")</f>
        <v/>
      </c>
      <c r="H2587">
        <f>HYPERLINK("http://pbs.twimg.com/media/Dbjlhk-XkAEGihH.jpg", "http://pbs.twimg.com/media/Dbjlhk-XkAEGihH.jpg")</f>
        <v/>
      </c>
      <c r="I2587">
        <f>HYPERLINK("http://pbs.twimg.com/media/Dbjln3cX0AgRMIJ.jpg", "http://pbs.twimg.com/media/Dbjln3cX0AgRMIJ.jpg")</f>
        <v/>
      </c>
      <c r="J2587" t="n">
        <v>0.3034</v>
      </c>
      <c r="K2587" t="n">
        <v>0</v>
      </c>
      <c r="L2587" t="n">
        <v>0.89</v>
      </c>
      <c r="M2587" t="n">
        <v>0.11</v>
      </c>
    </row>
    <row r="2588" spans="1:13">
      <c r="A2588" s="1">
        <f>HYPERLINK("http://www.twitter.com/NathanBLawrence/status/989211881486344192", "989211881486344192")</f>
        <v/>
      </c>
      <c r="B2588" s="2" t="n">
        <v>43215.77621527778</v>
      </c>
      <c r="C2588" t="n">
        <v>0</v>
      </c>
      <c r="D2588" t="n">
        <v>1449</v>
      </c>
      <c r="E2588" t="s">
        <v>2594</v>
      </c>
      <c r="F2588" t="s"/>
      <c r="G2588" t="s"/>
      <c r="H2588" t="s"/>
      <c r="I2588" t="s"/>
      <c r="J2588" t="n">
        <v>0</v>
      </c>
      <c r="K2588" t="n">
        <v>0</v>
      </c>
      <c r="L2588" t="n">
        <v>1</v>
      </c>
      <c r="M2588" t="n">
        <v>0</v>
      </c>
    </row>
    <row r="2589" spans="1:13">
      <c r="A2589" s="1">
        <f>HYPERLINK("http://www.twitter.com/NathanBLawrence/status/989211789241053186", "989211789241053186")</f>
        <v/>
      </c>
      <c r="B2589" s="2" t="n">
        <v>43215.77596064815</v>
      </c>
      <c r="C2589" t="n">
        <v>0</v>
      </c>
      <c r="D2589" t="n">
        <v>176</v>
      </c>
      <c r="E2589" t="s">
        <v>2595</v>
      </c>
      <c r="F2589" t="s"/>
      <c r="G2589" t="s"/>
      <c r="H2589" t="s"/>
      <c r="I2589" t="s"/>
      <c r="J2589" t="n">
        <v>0.9723000000000001</v>
      </c>
      <c r="K2589" t="n">
        <v>0</v>
      </c>
      <c r="L2589" t="n">
        <v>0.36</v>
      </c>
      <c r="M2589" t="n">
        <v>0.64</v>
      </c>
    </row>
    <row r="2590" spans="1:13">
      <c r="A2590" s="1">
        <f>HYPERLINK("http://www.twitter.com/NathanBLawrence/status/989211723273003014", "989211723273003014")</f>
        <v/>
      </c>
      <c r="B2590" s="2" t="n">
        <v>43215.77578703704</v>
      </c>
      <c r="C2590" t="n">
        <v>0</v>
      </c>
      <c r="D2590" t="n">
        <v>2850</v>
      </c>
      <c r="E2590" t="s">
        <v>2596</v>
      </c>
      <c r="F2590" t="s"/>
      <c r="G2590" t="s"/>
      <c r="H2590" t="s"/>
      <c r="I2590" t="s"/>
      <c r="J2590" t="n">
        <v>-0.4939</v>
      </c>
      <c r="K2590" t="n">
        <v>0.127</v>
      </c>
      <c r="L2590" t="n">
        <v>0.873</v>
      </c>
      <c r="M2590" t="n">
        <v>0</v>
      </c>
    </row>
    <row r="2591" spans="1:13">
      <c r="A2591" s="1">
        <f>HYPERLINK("http://www.twitter.com/NathanBLawrence/status/989211453105295361", "989211453105295361")</f>
        <v/>
      </c>
      <c r="B2591" s="2" t="n">
        <v>43215.77503472222</v>
      </c>
      <c r="C2591" t="n">
        <v>0</v>
      </c>
      <c r="D2591" t="n">
        <v>290</v>
      </c>
      <c r="E2591" t="s">
        <v>2597</v>
      </c>
      <c r="F2591" t="s"/>
      <c r="G2591" t="s"/>
      <c r="H2591" t="s"/>
      <c r="I2591" t="s"/>
      <c r="J2591" t="n">
        <v>0.5574</v>
      </c>
      <c r="K2591" t="n">
        <v>0.091</v>
      </c>
      <c r="L2591" t="n">
        <v>0.675</v>
      </c>
      <c r="M2591" t="n">
        <v>0.234</v>
      </c>
    </row>
    <row r="2592" spans="1:13">
      <c r="A2592" s="1">
        <f>HYPERLINK("http://www.twitter.com/NathanBLawrence/status/989211384373182467", "989211384373182467")</f>
        <v/>
      </c>
      <c r="B2592" s="2" t="n">
        <v>43215.77484953704</v>
      </c>
      <c r="C2592" t="n">
        <v>0</v>
      </c>
      <c r="D2592" t="n">
        <v>157</v>
      </c>
      <c r="E2592" t="s">
        <v>2598</v>
      </c>
      <c r="F2592">
        <f>HYPERLINK("http://pbs.twimg.com/media/DbmsrEEX4AAEz_r.jpg", "http://pbs.twimg.com/media/DbmsrEEX4AAEz_r.jpg")</f>
        <v/>
      </c>
      <c r="G2592" t="s"/>
      <c r="H2592" t="s"/>
      <c r="I2592" t="s"/>
      <c r="J2592" t="n">
        <v>-0.296</v>
      </c>
      <c r="K2592" t="n">
        <v>0.235</v>
      </c>
      <c r="L2592" t="n">
        <v>0.537</v>
      </c>
      <c r="M2592" t="n">
        <v>0.228</v>
      </c>
    </row>
    <row r="2593" spans="1:13">
      <c r="A2593" s="1">
        <f>HYPERLINK("http://www.twitter.com/NathanBLawrence/status/989211058765213697", "989211058765213697")</f>
        <v/>
      </c>
      <c r="B2593" s="2" t="n">
        <v>43215.77394675926</v>
      </c>
      <c r="C2593" t="n">
        <v>0</v>
      </c>
      <c r="D2593" t="n">
        <v>71</v>
      </c>
      <c r="E2593" t="s">
        <v>2599</v>
      </c>
      <c r="F2593" t="s"/>
      <c r="G2593" t="s"/>
      <c r="H2593" t="s"/>
      <c r="I2593" t="s"/>
      <c r="J2593" t="n">
        <v>-0.7003</v>
      </c>
      <c r="K2593" t="n">
        <v>0.269</v>
      </c>
      <c r="L2593" t="n">
        <v>0.661</v>
      </c>
      <c r="M2593" t="n">
        <v>0.07000000000000001</v>
      </c>
    </row>
    <row r="2594" spans="1:13">
      <c r="A2594" s="1">
        <f>HYPERLINK("http://www.twitter.com/NathanBLawrence/status/989191475316457473", "989191475316457473")</f>
        <v/>
      </c>
      <c r="B2594" s="2" t="n">
        <v>43215.71990740741</v>
      </c>
      <c r="C2594" t="n">
        <v>0</v>
      </c>
      <c r="D2594" t="n">
        <v>3304</v>
      </c>
      <c r="E2594" t="s">
        <v>2600</v>
      </c>
      <c r="F2594" t="s"/>
      <c r="G2594" t="s"/>
      <c r="H2594" t="s"/>
      <c r="I2594" t="s"/>
      <c r="J2594" t="n">
        <v>0</v>
      </c>
      <c r="K2594" t="n">
        <v>0</v>
      </c>
      <c r="L2594" t="n">
        <v>1</v>
      </c>
      <c r="M2594" t="n">
        <v>0</v>
      </c>
    </row>
    <row r="2595" spans="1:13">
      <c r="A2595" s="1">
        <f>HYPERLINK("http://www.twitter.com/NathanBLawrence/status/989191384660721664", "989191384660721664")</f>
        <v/>
      </c>
      <c r="B2595" s="2" t="n">
        <v>43215.71966435185</v>
      </c>
      <c r="C2595" t="n">
        <v>0</v>
      </c>
      <c r="D2595" t="n">
        <v>5082</v>
      </c>
      <c r="E2595" t="s">
        <v>2601</v>
      </c>
      <c r="F2595" t="s"/>
      <c r="G2595" t="s"/>
      <c r="H2595" t="s"/>
      <c r="I2595" t="s"/>
      <c r="J2595" t="n">
        <v>0.0772</v>
      </c>
      <c r="K2595" t="n">
        <v>0.165</v>
      </c>
      <c r="L2595" t="n">
        <v>0.653</v>
      </c>
      <c r="M2595" t="n">
        <v>0.181</v>
      </c>
    </row>
    <row r="2596" spans="1:13">
      <c r="A2596" s="1">
        <f>HYPERLINK("http://www.twitter.com/NathanBLawrence/status/989164215431843840", "989164215431843840")</f>
        <v/>
      </c>
      <c r="B2596" s="2" t="n">
        <v>43215.6446875</v>
      </c>
      <c r="C2596" t="n">
        <v>0</v>
      </c>
      <c r="D2596" t="n">
        <v>1137</v>
      </c>
      <c r="E2596" t="s">
        <v>2602</v>
      </c>
      <c r="F2596">
        <f>HYPERLINK("http://pbs.twimg.com/media/DboFFu7XkAEasy0.jpg", "http://pbs.twimg.com/media/DboFFu7XkAEasy0.jpg")</f>
        <v/>
      </c>
      <c r="G2596" t="s"/>
      <c r="H2596" t="s"/>
      <c r="I2596" t="s"/>
      <c r="J2596" t="n">
        <v>0.4003</v>
      </c>
      <c r="K2596" t="n">
        <v>0</v>
      </c>
      <c r="L2596" t="n">
        <v>0.881</v>
      </c>
      <c r="M2596" t="n">
        <v>0.119</v>
      </c>
    </row>
    <row r="2597" spans="1:13">
      <c r="A2597" s="1">
        <f>HYPERLINK("http://www.twitter.com/NathanBLawrence/status/989163991728406528", "989163991728406528")</f>
        <v/>
      </c>
      <c r="B2597" s="2" t="n">
        <v>43215.64407407407</v>
      </c>
      <c r="C2597" t="n">
        <v>1</v>
      </c>
      <c r="D2597" t="n">
        <v>1</v>
      </c>
      <c r="E2597" t="s">
        <v>2603</v>
      </c>
      <c r="F2597" t="s"/>
      <c r="G2597" t="s"/>
      <c r="H2597" t="s"/>
      <c r="I2597" t="s"/>
      <c r="J2597" t="n">
        <v>-0.7382</v>
      </c>
      <c r="K2597" t="n">
        <v>0.257</v>
      </c>
      <c r="L2597" t="n">
        <v>0.659</v>
      </c>
      <c r="M2597" t="n">
        <v>0.08400000000000001</v>
      </c>
    </row>
    <row r="2598" spans="1:13">
      <c r="A2598" s="1">
        <f>HYPERLINK("http://www.twitter.com/NathanBLawrence/status/989160269799567361", "989160269799567361")</f>
        <v/>
      </c>
      <c r="B2598" s="2" t="n">
        <v>43215.63379629629</v>
      </c>
      <c r="C2598" t="n">
        <v>0</v>
      </c>
      <c r="D2598" t="n">
        <v>273</v>
      </c>
      <c r="E2598" t="s">
        <v>2604</v>
      </c>
      <c r="F2598" t="s"/>
      <c r="G2598" t="s"/>
      <c r="H2598" t="s"/>
      <c r="I2598" t="s"/>
      <c r="J2598" t="n">
        <v>-0.3595</v>
      </c>
      <c r="K2598" t="n">
        <v>0.161</v>
      </c>
      <c r="L2598" t="n">
        <v>0.839</v>
      </c>
      <c r="M2598" t="n">
        <v>0</v>
      </c>
    </row>
    <row r="2599" spans="1:13">
      <c r="A2599" s="1">
        <f>HYPERLINK("http://www.twitter.com/NathanBLawrence/status/989160224559804419", "989160224559804419")</f>
        <v/>
      </c>
      <c r="B2599" s="2" t="n">
        <v>43215.63366898148</v>
      </c>
      <c r="C2599" t="n">
        <v>0</v>
      </c>
      <c r="D2599" t="n">
        <v>815</v>
      </c>
      <c r="E2599" t="s">
        <v>2605</v>
      </c>
      <c r="F2599" t="s"/>
      <c r="G2599" t="s"/>
      <c r="H2599" t="s"/>
      <c r="I2599" t="s"/>
      <c r="J2599" t="n">
        <v>0.7398</v>
      </c>
      <c r="K2599" t="n">
        <v>0</v>
      </c>
      <c r="L2599" t="n">
        <v>0.742</v>
      </c>
      <c r="M2599" t="n">
        <v>0.258</v>
      </c>
    </row>
    <row r="2600" spans="1:13">
      <c r="A2600" s="1">
        <f>HYPERLINK("http://www.twitter.com/NathanBLawrence/status/989160153302749185", "989160153302749185")</f>
        <v/>
      </c>
      <c r="B2600" s="2" t="n">
        <v>43215.63347222222</v>
      </c>
      <c r="C2600" t="n">
        <v>1</v>
      </c>
      <c r="D2600" t="n">
        <v>1</v>
      </c>
      <c r="E2600" t="s">
        <v>2606</v>
      </c>
      <c r="F2600" t="s"/>
      <c r="G2600" t="s"/>
      <c r="H2600" t="s"/>
      <c r="I2600" t="s"/>
      <c r="J2600" t="n">
        <v>0.5461</v>
      </c>
      <c r="K2600" t="n">
        <v>0.07199999999999999</v>
      </c>
      <c r="L2600" t="n">
        <v>0.778</v>
      </c>
      <c r="M2600" t="n">
        <v>0.15</v>
      </c>
    </row>
    <row r="2601" spans="1:13">
      <c r="A2601" s="1">
        <f>HYPERLINK("http://www.twitter.com/NathanBLawrence/status/989159841577877504", "989159841577877504")</f>
        <v/>
      </c>
      <c r="B2601" s="2" t="n">
        <v>43215.63261574074</v>
      </c>
      <c r="C2601" t="n">
        <v>0</v>
      </c>
      <c r="D2601" t="n">
        <v>1096</v>
      </c>
      <c r="E2601" t="s">
        <v>2607</v>
      </c>
      <c r="F2601" t="s"/>
      <c r="G2601" t="s"/>
      <c r="H2601" t="s"/>
      <c r="I2601" t="s"/>
      <c r="J2601" t="n">
        <v>0.1027</v>
      </c>
      <c r="K2601" t="n">
        <v>0</v>
      </c>
      <c r="L2601" t="n">
        <v>0.924</v>
      </c>
      <c r="M2601" t="n">
        <v>0.076</v>
      </c>
    </row>
    <row r="2602" spans="1:13">
      <c r="A2602" s="1">
        <f>HYPERLINK("http://www.twitter.com/NathanBLawrence/status/989159435128848384", "989159435128848384")</f>
        <v/>
      </c>
      <c r="B2602" s="2" t="n">
        <v>43215.63149305555</v>
      </c>
      <c r="C2602" t="n">
        <v>6</v>
      </c>
      <c r="D2602" t="n">
        <v>1</v>
      </c>
      <c r="E2602" t="s">
        <v>2608</v>
      </c>
      <c r="F2602" t="s"/>
      <c r="G2602" t="s"/>
      <c r="H2602" t="s"/>
      <c r="I2602" t="s"/>
      <c r="J2602" t="n">
        <v>0</v>
      </c>
      <c r="K2602" t="n">
        <v>0</v>
      </c>
      <c r="L2602" t="n">
        <v>1</v>
      </c>
      <c r="M2602" t="n">
        <v>0</v>
      </c>
    </row>
    <row r="2603" spans="1:13">
      <c r="A2603" s="1">
        <f>HYPERLINK("http://www.twitter.com/NathanBLawrence/status/989156950603587585", "989156950603587585")</f>
        <v/>
      </c>
      <c r="B2603" s="2" t="n">
        <v>43215.62464120371</v>
      </c>
      <c r="C2603" t="n">
        <v>2</v>
      </c>
      <c r="D2603" t="n">
        <v>2</v>
      </c>
      <c r="E2603" t="s">
        <v>2609</v>
      </c>
      <c r="F2603" t="s"/>
      <c r="G2603" t="s"/>
      <c r="H2603" t="s"/>
      <c r="I2603" t="s"/>
      <c r="J2603" t="n">
        <v>0.5461</v>
      </c>
      <c r="K2603" t="n">
        <v>0.059</v>
      </c>
      <c r="L2603" t="n">
        <v>0.8179999999999999</v>
      </c>
      <c r="M2603" t="n">
        <v>0.123</v>
      </c>
    </row>
    <row r="2604" spans="1:13">
      <c r="A2604" s="1">
        <f>HYPERLINK("http://www.twitter.com/NathanBLawrence/status/989153616257695744", "989153616257695744")</f>
        <v/>
      </c>
      <c r="B2604" s="2" t="n">
        <v>43215.61543981481</v>
      </c>
      <c r="C2604" t="n">
        <v>0</v>
      </c>
      <c r="D2604" t="n">
        <v>7197</v>
      </c>
      <c r="E2604" t="s">
        <v>2610</v>
      </c>
      <c r="F2604">
        <f>HYPERLINK("http://pbs.twimg.com/media/DbnRlZ8XcAA9uvx.jpg", "http://pbs.twimg.com/media/DbnRlZ8XcAA9uvx.jpg")</f>
        <v/>
      </c>
      <c r="G2604" t="s"/>
      <c r="H2604" t="s"/>
      <c r="I2604" t="s"/>
      <c r="J2604" t="n">
        <v>0.4866</v>
      </c>
      <c r="K2604" t="n">
        <v>0.147</v>
      </c>
      <c r="L2604" t="n">
        <v>0.553</v>
      </c>
      <c r="M2604" t="n">
        <v>0.3</v>
      </c>
    </row>
    <row r="2605" spans="1:13">
      <c r="A2605" s="1">
        <f>HYPERLINK("http://www.twitter.com/NathanBLawrence/status/989153449345335296", "989153449345335296")</f>
        <v/>
      </c>
      <c r="B2605" s="2" t="n">
        <v>43215.61497685185</v>
      </c>
      <c r="C2605" t="n">
        <v>0</v>
      </c>
      <c r="D2605" t="n">
        <v>0</v>
      </c>
      <c r="E2605" t="s">
        <v>2611</v>
      </c>
      <c r="F2605" t="s"/>
      <c r="G2605" t="s"/>
      <c r="H2605" t="s"/>
      <c r="I2605" t="s"/>
      <c r="J2605" t="n">
        <v>-0.5266999999999999</v>
      </c>
      <c r="K2605" t="n">
        <v>0.362</v>
      </c>
      <c r="L2605" t="n">
        <v>0.638</v>
      </c>
      <c r="M2605" t="n">
        <v>0</v>
      </c>
    </row>
    <row r="2606" spans="1:13">
      <c r="A2606" s="1">
        <f>HYPERLINK("http://www.twitter.com/NathanBLawrence/status/989152048988897280", "989152048988897280")</f>
        <v/>
      </c>
      <c r="B2606" s="2" t="n">
        <v>43215.61111111111</v>
      </c>
      <c r="C2606" t="n">
        <v>0</v>
      </c>
      <c r="D2606" t="n">
        <v>991</v>
      </c>
      <c r="E2606" t="s">
        <v>2612</v>
      </c>
      <c r="F2606">
        <f>HYPERLINK("http://pbs.twimg.com/media/DboWAo4WsAge9MO.jpg", "http://pbs.twimg.com/media/DboWAo4WsAge9MO.jpg")</f>
        <v/>
      </c>
      <c r="G2606" t="s"/>
      <c r="H2606" t="s"/>
      <c r="I2606" t="s"/>
      <c r="J2606" t="n">
        <v>0.7234</v>
      </c>
      <c r="K2606" t="n">
        <v>0</v>
      </c>
      <c r="L2606" t="n">
        <v>0.698</v>
      </c>
      <c r="M2606" t="n">
        <v>0.302</v>
      </c>
    </row>
    <row r="2607" spans="1:13">
      <c r="A2607" s="1">
        <f>HYPERLINK("http://www.twitter.com/NathanBLawrence/status/989151859389575168", "989151859389575168")</f>
        <v/>
      </c>
      <c r="B2607" s="2" t="n">
        <v>43215.61059027778</v>
      </c>
      <c r="C2607" t="n">
        <v>0</v>
      </c>
      <c r="D2607" t="n">
        <v>305</v>
      </c>
      <c r="E2607" t="s">
        <v>2613</v>
      </c>
      <c r="F2607">
        <f>HYPERLINK("http://pbs.twimg.com/media/DboLEPFWsAAMSoc.jpg", "http://pbs.twimg.com/media/DboLEPFWsAAMSoc.jpg")</f>
        <v/>
      </c>
      <c r="G2607" t="s"/>
      <c r="H2607" t="s"/>
      <c r="I2607" t="s"/>
      <c r="J2607" t="n">
        <v>0.6369</v>
      </c>
      <c r="K2607" t="n">
        <v>0</v>
      </c>
      <c r="L2607" t="n">
        <v>0.84</v>
      </c>
      <c r="M2607" t="n">
        <v>0.16</v>
      </c>
    </row>
    <row r="2608" spans="1:13">
      <c r="A2608" s="1">
        <f>HYPERLINK("http://www.twitter.com/NathanBLawrence/status/989151777084788736", "989151777084788736")</f>
        <v/>
      </c>
      <c r="B2608" s="2" t="n">
        <v>43215.61035879629</v>
      </c>
      <c r="C2608" t="n">
        <v>0</v>
      </c>
      <c r="D2608" t="n">
        <v>5</v>
      </c>
      <c r="E2608" t="s">
        <v>2614</v>
      </c>
      <c r="F2608">
        <f>HYPERLINK("http://pbs.twimg.com/media/DboaQROVMAAOqos.jpg", "http://pbs.twimg.com/media/DboaQROVMAAOqos.jpg")</f>
        <v/>
      </c>
      <c r="G2608" t="s"/>
      <c r="H2608" t="s"/>
      <c r="I2608" t="s"/>
      <c r="J2608" t="n">
        <v>0.8201000000000001</v>
      </c>
      <c r="K2608" t="n">
        <v>0</v>
      </c>
      <c r="L2608" t="n">
        <v>0.643</v>
      </c>
      <c r="M2608" t="n">
        <v>0.357</v>
      </c>
    </row>
    <row r="2609" spans="1:13">
      <c r="A2609" s="1">
        <f>HYPERLINK("http://www.twitter.com/NathanBLawrence/status/989151707413204992", "989151707413204992")</f>
        <v/>
      </c>
      <c r="B2609" s="2" t="n">
        <v>43215.61017361111</v>
      </c>
      <c r="C2609" t="n">
        <v>0</v>
      </c>
      <c r="D2609" t="n">
        <v>7077</v>
      </c>
      <c r="E2609" t="s">
        <v>2615</v>
      </c>
      <c r="F2609" t="s"/>
      <c r="G2609" t="s"/>
      <c r="H2609" t="s"/>
      <c r="I2609" t="s"/>
      <c r="J2609" t="n">
        <v>-0.2732</v>
      </c>
      <c r="K2609" t="n">
        <v>0.08400000000000001</v>
      </c>
      <c r="L2609" t="n">
        <v>0.916</v>
      </c>
      <c r="M2609" t="n">
        <v>0</v>
      </c>
    </row>
    <row r="2610" spans="1:13">
      <c r="A2610" s="1">
        <f>HYPERLINK("http://www.twitter.com/NathanBLawrence/status/989151472909627392", "989151472909627392")</f>
        <v/>
      </c>
      <c r="B2610" s="2" t="n">
        <v>43215.60952546296</v>
      </c>
      <c r="C2610" t="n">
        <v>0</v>
      </c>
      <c r="D2610" t="n">
        <v>15910</v>
      </c>
      <c r="E2610" t="s">
        <v>2616</v>
      </c>
      <c r="F2610" t="s"/>
      <c r="G2610" t="s"/>
      <c r="H2610" t="s"/>
      <c r="I2610" t="s"/>
      <c r="J2610" t="n">
        <v>0</v>
      </c>
      <c r="K2610" t="n">
        <v>0</v>
      </c>
      <c r="L2610" t="n">
        <v>1</v>
      </c>
      <c r="M2610" t="n">
        <v>0</v>
      </c>
    </row>
    <row r="2611" spans="1:13">
      <c r="A2611" s="1">
        <f>HYPERLINK("http://www.twitter.com/NathanBLawrence/status/989151401199595522", "989151401199595522")</f>
        <v/>
      </c>
      <c r="B2611" s="2" t="n">
        <v>43215.6093287037</v>
      </c>
      <c r="C2611" t="n">
        <v>0</v>
      </c>
      <c r="D2611" t="n">
        <v>17255</v>
      </c>
      <c r="E2611" t="s">
        <v>2617</v>
      </c>
      <c r="F2611" t="s"/>
      <c r="G2611" t="s"/>
      <c r="H2611" t="s"/>
      <c r="I2611" t="s"/>
      <c r="J2611" t="n">
        <v>0</v>
      </c>
      <c r="K2611" t="n">
        <v>0</v>
      </c>
      <c r="L2611" t="n">
        <v>1</v>
      </c>
      <c r="M2611" t="n">
        <v>0</v>
      </c>
    </row>
    <row r="2612" spans="1:13">
      <c r="A2612" s="1">
        <f>HYPERLINK("http://www.twitter.com/NathanBLawrence/status/989142363254607874", "989142363254607874")</f>
        <v/>
      </c>
      <c r="B2612" s="2" t="n">
        <v>43215.58438657408</v>
      </c>
      <c r="C2612" t="n">
        <v>0</v>
      </c>
      <c r="D2612" t="n">
        <v>23218</v>
      </c>
      <c r="E2612" t="s">
        <v>2618</v>
      </c>
      <c r="F2612" t="s"/>
      <c r="G2612" t="s"/>
      <c r="H2612" t="s"/>
      <c r="I2612" t="s"/>
      <c r="J2612" t="n">
        <v>0.886</v>
      </c>
      <c r="K2612" t="n">
        <v>0</v>
      </c>
      <c r="L2612" t="n">
        <v>0.634</v>
      </c>
      <c r="M2612" t="n">
        <v>0.366</v>
      </c>
    </row>
    <row r="2613" spans="1:13">
      <c r="A2613" s="1">
        <f>HYPERLINK("http://www.twitter.com/NathanBLawrence/status/989142241640771584", "989142241640771584")</f>
        <v/>
      </c>
      <c r="B2613" s="2" t="n">
        <v>43215.58405092593</v>
      </c>
      <c r="C2613" t="n">
        <v>0</v>
      </c>
      <c r="D2613" t="n">
        <v>12821</v>
      </c>
      <c r="E2613" t="s">
        <v>2619</v>
      </c>
      <c r="F2613" t="s"/>
      <c r="G2613" t="s"/>
      <c r="H2613" t="s"/>
      <c r="I2613" t="s"/>
      <c r="J2613" t="n">
        <v>0</v>
      </c>
      <c r="K2613" t="n">
        <v>0</v>
      </c>
      <c r="L2613" t="n">
        <v>1</v>
      </c>
      <c r="M2613" t="n">
        <v>0</v>
      </c>
    </row>
    <row r="2614" spans="1:13">
      <c r="A2614" s="1">
        <f>HYPERLINK("http://www.twitter.com/NathanBLawrence/status/989021040369160192", "989021040369160192")</f>
        <v/>
      </c>
      <c r="B2614" s="2" t="n">
        <v>43215.24959490741</v>
      </c>
      <c r="C2614" t="n">
        <v>0</v>
      </c>
      <c r="D2614" t="n">
        <v>149</v>
      </c>
      <c r="E2614" t="s">
        <v>2620</v>
      </c>
      <c r="F2614" t="s"/>
      <c r="G2614" t="s"/>
      <c r="H2614" t="s"/>
      <c r="I2614" t="s"/>
      <c r="J2614" t="n">
        <v>0</v>
      </c>
      <c r="K2614" t="n">
        <v>0</v>
      </c>
      <c r="L2614" t="n">
        <v>1</v>
      </c>
      <c r="M2614" t="n">
        <v>0</v>
      </c>
    </row>
    <row r="2615" spans="1:13">
      <c r="A2615" s="1">
        <f>HYPERLINK("http://www.twitter.com/NathanBLawrence/status/989018414143467520", "989018414143467520")</f>
        <v/>
      </c>
      <c r="B2615" s="2" t="n">
        <v>43215.24234953704</v>
      </c>
      <c r="C2615" t="n">
        <v>0</v>
      </c>
      <c r="D2615" t="n">
        <v>3</v>
      </c>
      <c r="E2615" t="s">
        <v>2621</v>
      </c>
      <c r="F2615">
        <f>HYPERLINK("http://pbs.twimg.com/media/DbmaX_6VwAAr0tI.jpg", "http://pbs.twimg.com/media/DbmaX_6VwAAr0tI.jpg")</f>
        <v/>
      </c>
      <c r="G2615">
        <f>HYPERLINK("http://pbs.twimg.com/media/DbmagfqU8AAbjSK.jpg", "http://pbs.twimg.com/media/DbmagfqU8AAbjSK.jpg")</f>
        <v/>
      </c>
      <c r="H2615">
        <f>HYPERLINK("http://pbs.twimg.com/media/Dbmao9FUwAExGzi.jpg", "http://pbs.twimg.com/media/Dbmao9FUwAExGzi.jpg")</f>
        <v/>
      </c>
      <c r="I2615">
        <f>HYPERLINK("http://pbs.twimg.com/media/DbmazKuV0AAQPGA.jpg", "http://pbs.twimg.com/media/DbmazKuV0AAQPGA.jpg")</f>
        <v/>
      </c>
      <c r="J2615" t="n">
        <v>0</v>
      </c>
      <c r="K2615" t="n">
        <v>0</v>
      </c>
      <c r="L2615" t="n">
        <v>1</v>
      </c>
      <c r="M2615" t="n">
        <v>0</v>
      </c>
    </row>
    <row r="2616" spans="1:13">
      <c r="A2616" s="1">
        <f>HYPERLINK("http://www.twitter.com/NathanBLawrence/status/989013192733962240", "989013192733962240")</f>
        <v/>
      </c>
      <c r="B2616" s="2" t="n">
        <v>43215.22793981482</v>
      </c>
      <c r="C2616" t="n">
        <v>0</v>
      </c>
      <c r="D2616" t="n">
        <v>1356</v>
      </c>
      <c r="E2616" t="s">
        <v>2622</v>
      </c>
      <c r="F2616">
        <f>HYPERLINK("https://video.twimg.com/amplify_video/988542287046201345/vid/1280x720/n4hRxv00opNL-t3r.mp4?tag=6", "https://video.twimg.com/amplify_video/988542287046201345/vid/1280x720/n4hRxv00opNL-t3r.mp4?tag=6")</f>
        <v/>
      </c>
      <c r="G2616" t="s"/>
      <c r="H2616" t="s"/>
      <c r="I2616" t="s"/>
      <c r="J2616" t="n">
        <v>0.1027</v>
      </c>
      <c r="K2616" t="n">
        <v>0.105</v>
      </c>
      <c r="L2616" t="n">
        <v>0.773</v>
      </c>
      <c r="M2616" t="n">
        <v>0.123</v>
      </c>
    </row>
    <row r="2617" spans="1:13">
      <c r="A2617" s="1">
        <f>HYPERLINK("http://www.twitter.com/NathanBLawrence/status/989013141727002624", "989013141727002624")</f>
        <v/>
      </c>
      <c r="B2617" s="2" t="n">
        <v>43215.22780092592</v>
      </c>
      <c r="C2617" t="n">
        <v>0</v>
      </c>
      <c r="D2617" t="n">
        <v>70</v>
      </c>
      <c r="E2617" t="s">
        <v>2623</v>
      </c>
      <c r="F2617">
        <f>HYPERLINK("http://pbs.twimg.com/media/DbkhZ9cXkAAG1gK.jpg", "http://pbs.twimg.com/media/DbkhZ9cXkAAG1gK.jpg")</f>
        <v/>
      </c>
      <c r="G2617" t="s"/>
      <c r="H2617" t="s"/>
      <c r="I2617" t="s"/>
      <c r="J2617" t="n">
        <v>0</v>
      </c>
      <c r="K2617" t="n">
        <v>0</v>
      </c>
      <c r="L2617" t="n">
        <v>1</v>
      </c>
      <c r="M2617" t="n">
        <v>0</v>
      </c>
    </row>
    <row r="2618" spans="1:13">
      <c r="A2618" s="1">
        <f>HYPERLINK("http://www.twitter.com/NathanBLawrence/status/989013032842903558", "989013032842903558")</f>
        <v/>
      </c>
      <c r="B2618" s="2" t="n">
        <v>43215.2275</v>
      </c>
      <c r="C2618" t="n">
        <v>0</v>
      </c>
      <c r="D2618" t="n">
        <v>3</v>
      </c>
      <c r="E2618" t="s">
        <v>2624</v>
      </c>
      <c r="F2618">
        <f>HYPERLINK("https://video.twimg.com/ext_tw_video/988853308675842048/pu/vid/480x640/PoygPLAqHPxgQbYB.mp4?tag=3", "https://video.twimg.com/ext_tw_video/988853308675842048/pu/vid/480x640/PoygPLAqHPxgQbYB.mp4?tag=3")</f>
        <v/>
      </c>
      <c r="G2618" t="s"/>
      <c r="H2618" t="s"/>
      <c r="I2618" t="s"/>
      <c r="J2618" t="n">
        <v>0</v>
      </c>
      <c r="K2618" t="n">
        <v>0</v>
      </c>
      <c r="L2618" t="n">
        <v>1</v>
      </c>
      <c r="M2618" t="n">
        <v>0</v>
      </c>
    </row>
    <row r="2619" spans="1:13">
      <c r="A2619" s="1">
        <f>HYPERLINK("http://www.twitter.com/NathanBLawrence/status/989012999821283329", "989012999821283329")</f>
        <v/>
      </c>
      <c r="B2619" s="2" t="n">
        <v>43215.22740740741</v>
      </c>
      <c r="C2619" t="n">
        <v>0</v>
      </c>
      <c r="D2619" t="n">
        <v>17</v>
      </c>
      <c r="E2619" t="s">
        <v>2625</v>
      </c>
      <c r="F2619">
        <f>HYPERLINK("http://pbs.twimg.com/media/DbkPuqCVwAAqd58.jpg", "http://pbs.twimg.com/media/DbkPuqCVwAAqd58.jpg")</f>
        <v/>
      </c>
      <c r="G2619" t="s"/>
      <c r="H2619" t="s"/>
      <c r="I2619" t="s"/>
      <c r="J2619" t="n">
        <v>0.6486</v>
      </c>
      <c r="K2619" t="n">
        <v>0</v>
      </c>
      <c r="L2619" t="n">
        <v>0.751</v>
      </c>
      <c r="M2619" t="n">
        <v>0.249</v>
      </c>
    </row>
    <row r="2620" spans="1:13">
      <c r="A2620" s="1">
        <f>HYPERLINK("http://www.twitter.com/NathanBLawrence/status/989012784561111040", "989012784561111040")</f>
        <v/>
      </c>
      <c r="B2620" s="2" t="n">
        <v>43215.22681712963</v>
      </c>
      <c r="C2620" t="n">
        <v>0</v>
      </c>
      <c r="D2620" t="n">
        <v>16</v>
      </c>
      <c r="E2620" t="s">
        <v>2626</v>
      </c>
      <c r="F2620" t="s"/>
      <c r="G2620" t="s"/>
      <c r="H2620" t="s"/>
      <c r="I2620" t="s"/>
      <c r="J2620" t="n">
        <v>-0.3182</v>
      </c>
      <c r="K2620" t="n">
        <v>0.113</v>
      </c>
      <c r="L2620" t="n">
        <v>0.887</v>
      </c>
      <c r="M2620" t="n">
        <v>0</v>
      </c>
    </row>
    <row r="2621" spans="1:13">
      <c r="A2621" s="1">
        <f>HYPERLINK("http://www.twitter.com/NathanBLawrence/status/989012665082101760", "989012665082101760")</f>
        <v/>
      </c>
      <c r="B2621" s="2" t="n">
        <v>43215.22648148148</v>
      </c>
      <c r="C2621" t="n">
        <v>0</v>
      </c>
      <c r="D2621" t="n">
        <v>419</v>
      </c>
      <c r="E2621" t="s">
        <v>2627</v>
      </c>
      <c r="F2621" t="s"/>
      <c r="G2621" t="s"/>
      <c r="H2621" t="s"/>
      <c r="I2621" t="s"/>
      <c r="J2621" t="n">
        <v>-0.1027</v>
      </c>
      <c r="K2621" t="n">
        <v>0.07199999999999999</v>
      </c>
      <c r="L2621" t="n">
        <v>0.928</v>
      </c>
      <c r="M2621" t="n">
        <v>0</v>
      </c>
    </row>
    <row r="2622" spans="1:13">
      <c r="A2622" s="1">
        <f>HYPERLINK("http://www.twitter.com/NathanBLawrence/status/989012632710496256", "989012632710496256")</f>
        <v/>
      </c>
      <c r="B2622" s="2" t="n">
        <v>43215.22640046296</v>
      </c>
      <c r="C2622" t="n">
        <v>0</v>
      </c>
      <c r="D2622" t="n">
        <v>935</v>
      </c>
      <c r="E2622" t="s">
        <v>2628</v>
      </c>
      <c r="F2622">
        <f>HYPERLINK("http://pbs.twimg.com/media/DbkjSMKW4AEP2vg.jpg", "http://pbs.twimg.com/media/DbkjSMKW4AEP2vg.jpg")</f>
        <v/>
      </c>
      <c r="G2622" t="s"/>
      <c r="H2622" t="s"/>
      <c r="I2622" t="s"/>
      <c r="J2622" t="n">
        <v>-0.5106000000000001</v>
      </c>
      <c r="K2622" t="n">
        <v>0.136</v>
      </c>
      <c r="L2622" t="n">
        <v>0.864</v>
      </c>
      <c r="M2622" t="n">
        <v>0</v>
      </c>
    </row>
    <row r="2623" spans="1:13">
      <c r="A2623" s="1">
        <f>HYPERLINK("http://www.twitter.com/NathanBLawrence/status/989012405735731200", "989012405735731200")</f>
        <v/>
      </c>
      <c r="B2623" s="2" t="n">
        <v>43215.22577546296</v>
      </c>
      <c r="C2623" t="n">
        <v>0</v>
      </c>
      <c r="D2623" t="n">
        <v>3</v>
      </c>
      <c r="E2623" t="s">
        <v>2629</v>
      </c>
      <c r="F2623">
        <f>HYPERLINK("http://pbs.twimg.com/media/DbkhykfV0AE_X_z.jpg", "http://pbs.twimg.com/media/DbkhykfV0AE_X_z.jpg")</f>
        <v/>
      </c>
      <c r="G2623" t="s"/>
      <c r="H2623" t="s"/>
      <c r="I2623" t="s"/>
      <c r="J2623" t="n">
        <v>0</v>
      </c>
      <c r="K2623" t="n">
        <v>0.083</v>
      </c>
      <c r="L2623" t="n">
        <v>0.833</v>
      </c>
      <c r="M2623" t="n">
        <v>0.083</v>
      </c>
    </row>
    <row r="2624" spans="1:13">
      <c r="A2624" s="1">
        <f>HYPERLINK("http://www.twitter.com/NathanBLawrence/status/989012331660115968", "989012331660115968")</f>
        <v/>
      </c>
      <c r="B2624" s="2" t="n">
        <v>43215.22556712963</v>
      </c>
      <c r="C2624" t="n">
        <v>0</v>
      </c>
      <c r="D2624" t="n">
        <v>2</v>
      </c>
      <c r="E2624" t="s">
        <v>2630</v>
      </c>
      <c r="F2624">
        <f>HYPERLINK("http://pbs.twimg.com/media/DbmsxqOV0AE2HDh.jpg", "http://pbs.twimg.com/media/DbmsxqOV0AE2HDh.jpg")</f>
        <v/>
      </c>
      <c r="G2624">
        <f>HYPERLINK("http://pbs.twimg.com/media/Dbmsy3tUwAEcrjn.jpg", "http://pbs.twimg.com/media/Dbmsy3tUwAEcrjn.jpg")</f>
        <v/>
      </c>
      <c r="H2624">
        <f>HYPERLINK("http://pbs.twimg.com/media/Dbmsz_uU8AEGetY.jpg", "http://pbs.twimg.com/media/Dbmsz_uU8AEGetY.jpg")</f>
        <v/>
      </c>
      <c r="I2624">
        <f>HYPERLINK("http://pbs.twimg.com/media/Dbms2oMUwAAps0M.jpg", "http://pbs.twimg.com/media/Dbms2oMUwAAps0M.jpg")</f>
        <v/>
      </c>
      <c r="J2624" t="n">
        <v>-0.2732</v>
      </c>
      <c r="K2624" t="n">
        <v>0.095</v>
      </c>
      <c r="L2624" t="n">
        <v>0.905</v>
      </c>
      <c r="M2624" t="n">
        <v>0</v>
      </c>
    </row>
    <row r="2625" spans="1:13">
      <c r="A2625" s="1">
        <f>HYPERLINK("http://www.twitter.com/NathanBLawrence/status/989011911311179776", "989011911311179776")</f>
        <v/>
      </c>
      <c r="B2625" s="2" t="n">
        <v>43215.22440972222</v>
      </c>
      <c r="C2625" t="n">
        <v>2</v>
      </c>
      <c r="D2625" t="n">
        <v>2</v>
      </c>
      <c r="E2625" t="s">
        <v>2631</v>
      </c>
      <c r="F2625">
        <f>HYPERLINK("http://pbs.twimg.com/media/DbmsxqOV0AE2HDh.jpg", "http://pbs.twimg.com/media/DbmsxqOV0AE2HDh.jpg")</f>
        <v/>
      </c>
      <c r="G2625">
        <f>HYPERLINK("http://pbs.twimg.com/media/Dbmsy3tUwAEcrjn.jpg", "http://pbs.twimg.com/media/Dbmsy3tUwAEcrjn.jpg")</f>
        <v/>
      </c>
      <c r="H2625">
        <f>HYPERLINK("http://pbs.twimg.com/media/Dbmsz_uU8AEGetY.jpg", "http://pbs.twimg.com/media/Dbmsz_uU8AEGetY.jpg")</f>
        <v/>
      </c>
      <c r="I2625">
        <f>HYPERLINK("http://pbs.twimg.com/media/Dbms2oMUwAAps0M.jpg", "http://pbs.twimg.com/media/Dbms2oMUwAAps0M.jpg")</f>
        <v/>
      </c>
      <c r="J2625" t="n">
        <v>-0.3802</v>
      </c>
      <c r="K2625" t="n">
        <v>0.189</v>
      </c>
      <c r="L2625" t="n">
        <v>0.705</v>
      </c>
      <c r="M2625" t="n">
        <v>0.106</v>
      </c>
    </row>
    <row r="2626" spans="1:13">
      <c r="A2626" s="1">
        <f>HYPERLINK("http://www.twitter.com/NathanBLawrence/status/989009006852124673", "989009006852124673")</f>
        <v/>
      </c>
      <c r="B2626" s="2" t="n">
        <v>43215.21638888889</v>
      </c>
      <c r="C2626" t="n">
        <v>0</v>
      </c>
      <c r="D2626" t="n">
        <v>0</v>
      </c>
      <c r="E2626" t="s">
        <v>2632</v>
      </c>
      <c r="F2626" t="s"/>
      <c r="G2626" t="s"/>
      <c r="H2626" t="s"/>
      <c r="I2626" t="s"/>
      <c r="J2626" t="n">
        <v>0</v>
      </c>
      <c r="K2626" t="n">
        <v>0</v>
      </c>
      <c r="L2626" t="n">
        <v>1</v>
      </c>
      <c r="M2626" t="n">
        <v>0</v>
      </c>
    </row>
    <row r="2627" spans="1:13">
      <c r="A2627" s="1">
        <f>HYPERLINK("http://www.twitter.com/NathanBLawrence/status/989008724999065600", "989008724999065600")</f>
        <v/>
      </c>
      <c r="B2627" s="2" t="n">
        <v>43215.21561342593</v>
      </c>
      <c r="C2627" t="n">
        <v>0</v>
      </c>
      <c r="D2627" t="n">
        <v>682</v>
      </c>
      <c r="E2627" t="s">
        <v>2633</v>
      </c>
      <c r="F2627">
        <f>HYPERLINK("http://pbs.twimg.com/media/DbmDIaUWsAAZUaj.jpg", "http://pbs.twimg.com/media/DbmDIaUWsAAZUaj.jpg")</f>
        <v/>
      </c>
      <c r="G2627" t="s"/>
      <c r="H2627" t="s"/>
      <c r="I2627" t="s"/>
      <c r="J2627" t="n">
        <v>0</v>
      </c>
      <c r="K2627" t="n">
        <v>0</v>
      </c>
      <c r="L2627" t="n">
        <v>1</v>
      </c>
      <c r="M2627" t="n">
        <v>0</v>
      </c>
    </row>
    <row r="2628" spans="1:13">
      <c r="A2628" s="1">
        <f>HYPERLINK("http://www.twitter.com/NathanBLawrence/status/989008633064177665", "989008633064177665")</f>
        <v/>
      </c>
      <c r="B2628" s="2" t="n">
        <v>43215.2153587963</v>
      </c>
      <c r="C2628" t="n">
        <v>0</v>
      </c>
      <c r="D2628" t="n">
        <v>7082</v>
      </c>
      <c r="E2628" t="s">
        <v>2634</v>
      </c>
      <c r="F2628" t="s"/>
      <c r="G2628" t="s"/>
      <c r="H2628" t="s"/>
      <c r="I2628" t="s"/>
      <c r="J2628" t="n">
        <v>0.9565</v>
      </c>
      <c r="K2628" t="n">
        <v>0</v>
      </c>
      <c r="L2628" t="n">
        <v>0.554</v>
      </c>
      <c r="M2628" t="n">
        <v>0.446</v>
      </c>
    </row>
    <row r="2629" spans="1:13">
      <c r="A2629" s="1">
        <f>HYPERLINK("http://www.twitter.com/NathanBLawrence/status/989008533990531072", "989008533990531072")</f>
        <v/>
      </c>
      <c r="B2629" s="2" t="n">
        <v>43215.2150925926</v>
      </c>
      <c r="C2629" t="n">
        <v>0</v>
      </c>
      <c r="D2629" t="n">
        <v>3</v>
      </c>
      <c r="E2629" t="s">
        <v>2635</v>
      </c>
      <c r="F2629" t="s"/>
      <c r="G2629" t="s"/>
      <c r="H2629" t="s"/>
      <c r="I2629" t="s"/>
      <c r="J2629" t="n">
        <v>0</v>
      </c>
      <c r="K2629" t="n">
        <v>0</v>
      </c>
      <c r="L2629" t="n">
        <v>1</v>
      </c>
      <c r="M2629" t="n">
        <v>0</v>
      </c>
    </row>
    <row r="2630" spans="1:13">
      <c r="A2630" s="1">
        <f>HYPERLINK("http://www.twitter.com/NathanBLawrence/status/989007957156233216", "989007957156233216")</f>
        <v/>
      </c>
      <c r="B2630" s="2" t="n">
        <v>43215.21349537037</v>
      </c>
      <c r="C2630" t="n">
        <v>1</v>
      </c>
      <c r="D2630" t="n">
        <v>1</v>
      </c>
      <c r="E2630" t="s">
        <v>2636</v>
      </c>
      <c r="F2630" t="s"/>
      <c r="G2630" t="s"/>
      <c r="H2630" t="s"/>
      <c r="I2630" t="s"/>
      <c r="J2630" t="n">
        <v>-0.4303</v>
      </c>
      <c r="K2630" t="n">
        <v>0.226</v>
      </c>
      <c r="L2630" t="n">
        <v>0.606</v>
      </c>
      <c r="M2630" t="n">
        <v>0.168</v>
      </c>
    </row>
    <row r="2631" spans="1:13">
      <c r="A2631" s="1">
        <f>HYPERLINK("http://www.twitter.com/NathanBLawrence/status/989006570771038208", "989006570771038208")</f>
        <v/>
      </c>
      <c r="B2631" s="2" t="n">
        <v>43215.20966435185</v>
      </c>
      <c r="C2631" t="n">
        <v>0</v>
      </c>
      <c r="D2631" t="n">
        <v>4</v>
      </c>
      <c r="E2631" t="s">
        <v>2637</v>
      </c>
      <c r="F2631" t="s"/>
      <c r="G2631" t="s"/>
      <c r="H2631" t="s"/>
      <c r="I2631" t="s"/>
      <c r="J2631" t="n">
        <v>0</v>
      </c>
      <c r="K2631" t="n">
        <v>0</v>
      </c>
      <c r="L2631" t="n">
        <v>1</v>
      </c>
      <c r="M2631" t="n">
        <v>0</v>
      </c>
    </row>
    <row r="2632" spans="1:13">
      <c r="A2632" s="1">
        <f>HYPERLINK("http://www.twitter.com/NathanBLawrence/status/989006080003866624", "989006080003866624")</f>
        <v/>
      </c>
      <c r="B2632" s="2" t="n">
        <v>43215.20831018518</v>
      </c>
      <c r="C2632" t="n">
        <v>0</v>
      </c>
      <c r="D2632" t="n">
        <v>7</v>
      </c>
      <c r="E2632" t="s">
        <v>2638</v>
      </c>
      <c r="F2632" t="s"/>
      <c r="G2632" t="s"/>
      <c r="H2632" t="s"/>
      <c r="I2632" t="s"/>
      <c r="J2632" t="n">
        <v>-0.3612</v>
      </c>
      <c r="K2632" t="n">
        <v>0.116</v>
      </c>
      <c r="L2632" t="n">
        <v>0.884</v>
      </c>
      <c r="M2632" t="n">
        <v>0</v>
      </c>
    </row>
    <row r="2633" spans="1:13">
      <c r="A2633" s="1">
        <f>HYPERLINK("http://www.twitter.com/NathanBLawrence/status/989002011805868032", "989002011805868032")</f>
        <v/>
      </c>
      <c r="B2633" s="2" t="n">
        <v>43215.19709490741</v>
      </c>
      <c r="C2633" t="n">
        <v>3</v>
      </c>
      <c r="D2633" t="n">
        <v>0</v>
      </c>
      <c r="E2633" t="s">
        <v>2639</v>
      </c>
      <c r="F2633" t="s"/>
      <c r="G2633" t="s"/>
      <c r="H2633" t="s"/>
      <c r="I2633" t="s"/>
      <c r="J2633" t="n">
        <v>0.5859</v>
      </c>
      <c r="K2633" t="n">
        <v>0</v>
      </c>
      <c r="L2633" t="n">
        <v>0.897</v>
      </c>
      <c r="M2633" t="n">
        <v>0.103</v>
      </c>
    </row>
    <row r="2634" spans="1:13">
      <c r="A2634" s="1">
        <f>HYPERLINK("http://www.twitter.com/NathanBLawrence/status/988998030471839746", "988998030471839746")</f>
        <v/>
      </c>
      <c r="B2634" s="2" t="n">
        <v>43215.18609953704</v>
      </c>
      <c r="C2634" t="n">
        <v>0</v>
      </c>
      <c r="D2634" t="n">
        <v>1112</v>
      </c>
      <c r="E2634" t="s">
        <v>2640</v>
      </c>
      <c r="F2634" t="s"/>
      <c r="G2634" t="s"/>
      <c r="H2634" t="s"/>
      <c r="I2634" t="s"/>
      <c r="J2634" t="n">
        <v>-0.0258</v>
      </c>
      <c r="K2634" t="n">
        <v>0.118</v>
      </c>
      <c r="L2634" t="n">
        <v>0.769</v>
      </c>
      <c r="M2634" t="n">
        <v>0.113</v>
      </c>
    </row>
    <row r="2635" spans="1:13">
      <c r="A2635" s="1">
        <f>HYPERLINK("http://www.twitter.com/NathanBLawrence/status/988996527493283846", "988996527493283846")</f>
        <v/>
      </c>
      <c r="B2635" s="2" t="n">
        <v>43215.18195601852</v>
      </c>
      <c r="C2635" t="n">
        <v>0</v>
      </c>
      <c r="D2635" t="n">
        <v>30</v>
      </c>
      <c r="E2635" t="s">
        <v>2641</v>
      </c>
      <c r="F2635">
        <f>HYPERLINK("http://pbs.twimg.com/media/DbZrEv0XkAE95Qr.jpg", "http://pbs.twimg.com/media/DbZrEv0XkAE95Qr.jpg")</f>
        <v/>
      </c>
      <c r="G2635" t="s"/>
      <c r="H2635" t="s"/>
      <c r="I2635" t="s"/>
      <c r="J2635" t="n">
        <v>0.5023</v>
      </c>
      <c r="K2635" t="n">
        <v>0</v>
      </c>
      <c r="L2635" t="n">
        <v>0.871</v>
      </c>
      <c r="M2635" t="n">
        <v>0.129</v>
      </c>
    </row>
    <row r="2636" spans="1:13">
      <c r="A2636" s="1">
        <f>HYPERLINK("http://www.twitter.com/NathanBLawrence/status/988995771495202816", "988995771495202816")</f>
        <v/>
      </c>
      <c r="B2636" s="2" t="n">
        <v>43215.17987268518</v>
      </c>
      <c r="C2636" t="n">
        <v>0</v>
      </c>
      <c r="D2636" t="n">
        <v>16</v>
      </c>
      <c r="E2636" t="s">
        <v>2642</v>
      </c>
      <c r="F2636">
        <f>HYPERLINK("http://pbs.twimg.com/media/DbZtFm0UwAEMQu5.jpg", "http://pbs.twimg.com/media/DbZtFm0UwAEMQu5.jpg")</f>
        <v/>
      </c>
      <c r="G2636" t="s"/>
      <c r="H2636" t="s"/>
      <c r="I2636" t="s"/>
      <c r="J2636" t="n">
        <v>0.8401999999999999</v>
      </c>
      <c r="K2636" t="n">
        <v>0</v>
      </c>
      <c r="L2636" t="n">
        <v>0.679</v>
      </c>
      <c r="M2636" t="n">
        <v>0.321</v>
      </c>
    </row>
    <row r="2637" spans="1:13">
      <c r="A2637" s="1">
        <f>HYPERLINK("http://www.twitter.com/NathanBLawrence/status/988995560022593537", "988995560022593537")</f>
        <v/>
      </c>
      <c r="B2637" s="2" t="n">
        <v>43215.17928240741</v>
      </c>
      <c r="C2637" t="n">
        <v>0</v>
      </c>
      <c r="D2637" t="n">
        <v>49</v>
      </c>
      <c r="E2637" t="s">
        <v>2643</v>
      </c>
      <c r="F2637" t="s"/>
      <c r="G2637" t="s"/>
      <c r="H2637" t="s"/>
      <c r="I2637" t="s"/>
      <c r="J2637" t="n">
        <v>0</v>
      </c>
      <c r="K2637" t="n">
        <v>0</v>
      </c>
      <c r="L2637" t="n">
        <v>1</v>
      </c>
      <c r="M2637" t="n">
        <v>0</v>
      </c>
    </row>
    <row r="2638" spans="1:13">
      <c r="A2638" s="1">
        <f>HYPERLINK("http://www.twitter.com/NathanBLawrence/status/988995416459960322", "988995416459960322")</f>
        <v/>
      </c>
      <c r="B2638" s="2" t="n">
        <v>43215.17888888889</v>
      </c>
      <c r="C2638" t="n">
        <v>0</v>
      </c>
      <c r="D2638" t="n">
        <v>41</v>
      </c>
      <c r="E2638" t="s">
        <v>2644</v>
      </c>
      <c r="F2638">
        <f>HYPERLINK("http://pbs.twimg.com/media/Dbb679pU0AAaYE7.jpg", "http://pbs.twimg.com/media/Dbb679pU0AAaYE7.jpg")</f>
        <v/>
      </c>
      <c r="G2638" t="s"/>
      <c r="H2638" t="s"/>
      <c r="I2638" t="s"/>
      <c r="J2638" t="n">
        <v>0.7906</v>
      </c>
      <c r="K2638" t="n">
        <v>0</v>
      </c>
      <c r="L2638" t="n">
        <v>0.579</v>
      </c>
      <c r="M2638" t="n">
        <v>0.421</v>
      </c>
    </row>
    <row r="2639" spans="1:13">
      <c r="A2639" s="1">
        <f>HYPERLINK("http://www.twitter.com/NathanBLawrence/status/988995151333703680", "988995151333703680")</f>
        <v/>
      </c>
      <c r="B2639" s="2" t="n">
        <v>43215.17815972222</v>
      </c>
      <c r="C2639" t="n">
        <v>0</v>
      </c>
      <c r="D2639" t="n">
        <v>606</v>
      </c>
      <c r="E2639" t="s">
        <v>2645</v>
      </c>
      <c r="F2639" t="s"/>
      <c r="G2639" t="s"/>
      <c r="H2639" t="s"/>
      <c r="I2639" t="s"/>
      <c r="J2639" t="n">
        <v>0</v>
      </c>
      <c r="K2639" t="n">
        <v>0</v>
      </c>
      <c r="L2639" t="n">
        <v>1</v>
      </c>
      <c r="M2639" t="n">
        <v>0</v>
      </c>
    </row>
    <row r="2640" spans="1:13">
      <c r="A2640" s="1">
        <f>HYPERLINK("http://www.twitter.com/NathanBLawrence/status/988994873020661760", "988994873020661760")</f>
        <v/>
      </c>
      <c r="B2640" s="2" t="n">
        <v>43215.17739583334</v>
      </c>
      <c r="C2640" t="n">
        <v>0</v>
      </c>
      <c r="D2640" t="n">
        <v>23272</v>
      </c>
      <c r="E2640" t="s">
        <v>2646</v>
      </c>
      <c r="F2640" t="s"/>
      <c r="G2640" t="s"/>
      <c r="H2640" t="s"/>
      <c r="I2640" t="s"/>
      <c r="J2640" t="n">
        <v>0.6369</v>
      </c>
      <c r="K2640" t="n">
        <v>0</v>
      </c>
      <c r="L2640" t="n">
        <v>0.625</v>
      </c>
      <c r="M2640" t="n">
        <v>0.375</v>
      </c>
    </row>
    <row r="2641" spans="1:13">
      <c r="A2641" s="1">
        <f>HYPERLINK("http://www.twitter.com/NathanBLawrence/status/988994697069674497", "988994697069674497")</f>
        <v/>
      </c>
      <c r="B2641" s="2" t="n">
        <v>43215.17690972222</v>
      </c>
      <c r="C2641" t="n">
        <v>0</v>
      </c>
      <c r="D2641" t="n">
        <v>3746</v>
      </c>
      <c r="E2641" t="s">
        <v>2647</v>
      </c>
      <c r="F2641" t="s"/>
      <c r="G2641" t="s"/>
      <c r="H2641" t="s"/>
      <c r="I2641" t="s"/>
      <c r="J2641" t="n">
        <v>0</v>
      </c>
      <c r="K2641" t="n">
        <v>0</v>
      </c>
      <c r="L2641" t="n">
        <v>1</v>
      </c>
      <c r="M2641" t="n">
        <v>0</v>
      </c>
    </row>
    <row r="2642" spans="1:13">
      <c r="A2642" s="1">
        <f>HYPERLINK("http://www.twitter.com/NathanBLawrence/status/988994600353259523", "988994600353259523")</f>
        <v/>
      </c>
      <c r="B2642" s="2" t="n">
        <v>43215.17664351852</v>
      </c>
      <c r="C2642" t="n">
        <v>0</v>
      </c>
      <c r="D2642" t="n">
        <v>2316</v>
      </c>
      <c r="E2642" t="s">
        <v>2648</v>
      </c>
      <c r="F2642" t="s"/>
      <c r="G2642" t="s"/>
      <c r="H2642" t="s"/>
      <c r="I2642" t="s"/>
      <c r="J2642" t="n">
        <v>-0.3818</v>
      </c>
      <c r="K2642" t="n">
        <v>0.12</v>
      </c>
      <c r="L2642" t="n">
        <v>0.88</v>
      </c>
      <c r="M2642" t="n">
        <v>0</v>
      </c>
    </row>
    <row r="2643" spans="1:13">
      <c r="A2643" s="1">
        <f>HYPERLINK("http://www.twitter.com/NathanBLawrence/status/988994534376849408", "988994534376849408")</f>
        <v/>
      </c>
      <c r="B2643" s="2" t="n">
        <v>43215.17645833334</v>
      </c>
      <c r="C2643" t="n">
        <v>0</v>
      </c>
      <c r="D2643" t="n">
        <v>248</v>
      </c>
      <c r="E2643" t="s">
        <v>2649</v>
      </c>
      <c r="F2643">
        <f>HYPERLINK("http://pbs.twimg.com/media/DbjZ-3sWAAEafQv.jpg", "http://pbs.twimg.com/media/DbjZ-3sWAAEafQv.jpg")</f>
        <v/>
      </c>
      <c r="G2643" t="s"/>
      <c r="H2643" t="s"/>
      <c r="I2643" t="s"/>
      <c r="J2643" t="n">
        <v>0</v>
      </c>
      <c r="K2643" t="n">
        <v>0</v>
      </c>
      <c r="L2643" t="n">
        <v>1</v>
      </c>
      <c r="M2643" t="n">
        <v>0</v>
      </c>
    </row>
    <row r="2644" spans="1:13">
      <c r="A2644" s="1">
        <f>HYPERLINK("http://www.twitter.com/NathanBLawrence/status/988994310765871104", "988994310765871104")</f>
        <v/>
      </c>
      <c r="B2644" s="2" t="n">
        <v>43215.17583333333</v>
      </c>
      <c r="C2644" t="n">
        <v>0</v>
      </c>
      <c r="D2644" t="n">
        <v>0</v>
      </c>
      <c r="E2644" t="s">
        <v>2650</v>
      </c>
      <c r="F2644" t="s"/>
      <c r="G2644" t="s"/>
      <c r="H2644" t="s"/>
      <c r="I2644" t="s"/>
      <c r="J2644" t="n">
        <v>0.9335</v>
      </c>
      <c r="K2644" t="n">
        <v>0</v>
      </c>
      <c r="L2644" t="n">
        <v>0.415</v>
      </c>
      <c r="M2644" t="n">
        <v>0.585</v>
      </c>
    </row>
    <row r="2645" spans="1:13">
      <c r="A2645" s="1">
        <f>HYPERLINK("http://www.twitter.com/NathanBLawrence/status/988993312819298304", "988993312819298304")</f>
        <v/>
      </c>
      <c r="B2645" s="2" t="n">
        <v>43215.17309027778</v>
      </c>
      <c r="C2645" t="n">
        <v>3</v>
      </c>
      <c r="D2645" t="n">
        <v>0</v>
      </c>
      <c r="E2645" t="s">
        <v>2651</v>
      </c>
      <c r="F2645" t="s"/>
      <c r="G2645" t="s"/>
      <c r="H2645" t="s"/>
      <c r="I2645" t="s"/>
      <c r="J2645" t="n">
        <v>-0.7371</v>
      </c>
      <c r="K2645" t="n">
        <v>0.169</v>
      </c>
      <c r="L2645" t="n">
        <v>0.777</v>
      </c>
      <c r="M2645" t="n">
        <v>0.054</v>
      </c>
    </row>
    <row r="2646" spans="1:13">
      <c r="A2646" s="1">
        <f>HYPERLINK("http://www.twitter.com/NathanBLawrence/status/988990614472605696", "988990614472605696")</f>
        <v/>
      </c>
      <c r="B2646" s="2" t="n">
        <v>43215.16563657407</v>
      </c>
      <c r="C2646" t="n">
        <v>0</v>
      </c>
      <c r="D2646" t="n">
        <v>1766</v>
      </c>
      <c r="E2646" t="s">
        <v>2652</v>
      </c>
      <c r="F2646">
        <f>HYPERLINK("http://pbs.twimg.com/media/DbkQ75UXcAAp0XW.jpg", "http://pbs.twimg.com/media/DbkQ75UXcAAp0XW.jpg")</f>
        <v/>
      </c>
      <c r="G2646" t="s"/>
      <c r="H2646" t="s"/>
      <c r="I2646" t="s"/>
      <c r="J2646" t="n">
        <v>0</v>
      </c>
      <c r="K2646" t="n">
        <v>0</v>
      </c>
      <c r="L2646" t="n">
        <v>1</v>
      </c>
      <c r="M2646" t="n">
        <v>0</v>
      </c>
    </row>
    <row r="2647" spans="1:13">
      <c r="A2647" s="1">
        <f>HYPERLINK("http://www.twitter.com/NathanBLawrence/status/988989950270951425", "988989950270951425")</f>
        <v/>
      </c>
      <c r="B2647" s="2" t="n">
        <v>43215.16380787037</v>
      </c>
      <c r="C2647" t="n">
        <v>0</v>
      </c>
      <c r="D2647" t="n">
        <v>0</v>
      </c>
      <c r="E2647" t="s">
        <v>2653</v>
      </c>
      <c r="F2647" t="s"/>
      <c r="G2647" t="s"/>
      <c r="H2647" t="s"/>
      <c r="I2647" t="s"/>
      <c r="J2647" t="n">
        <v>-0.6124000000000001</v>
      </c>
      <c r="K2647" t="n">
        <v>0.222</v>
      </c>
      <c r="L2647" t="n">
        <v>0.778</v>
      </c>
      <c r="M2647" t="n">
        <v>0</v>
      </c>
    </row>
    <row r="2648" spans="1:13">
      <c r="A2648" s="1">
        <f>HYPERLINK("http://www.twitter.com/NathanBLawrence/status/988989331183316992", "988989331183316992")</f>
        <v/>
      </c>
      <c r="B2648" s="2" t="n">
        <v>43215.16209490741</v>
      </c>
      <c r="C2648" t="n">
        <v>1</v>
      </c>
      <c r="D2648" t="n">
        <v>0</v>
      </c>
      <c r="E2648" t="s">
        <v>2654</v>
      </c>
      <c r="F2648" t="s"/>
      <c r="G2648" t="s"/>
      <c r="H2648" t="s"/>
      <c r="I2648" t="s"/>
      <c r="J2648" t="n">
        <v>-0.9468</v>
      </c>
      <c r="K2648" t="n">
        <v>0.367</v>
      </c>
      <c r="L2648" t="n">
        <v>0.584</v>
      </c>
      <c r="M2648" t="n">
        <v>0.049</v>
      </c>
    </row>
    <row r="2649" spans="1:13">
      <c r="A2649" s="1">
        <f>HYPERLINK("http://www.twitter.com/NathanBLawrence/status/988987586369671169", "988987586369671169")</f>
        <v/>
      </c>
      <c r="B2649" s="2" t="n">
        <v>43215.15728009259</v>
      </c>
      <c r="C2649" t="n">
        <v>3</v>
      </c>
      <c r="D2649" t="n">
        <v>0</v>
      </c>
      <c r="E2649" t="s">
        <v>2655</v>
      </c>
      <c r="F2649" t="s"/>
      <c r="G2649" t="s"/>
      <c r="H2649" t="s"/>
      <c r="I2649" t="s"/>
      <c r="J2649" t="n">
        <v>-0.8176</v>
      </c>
      <c r="K2649" t="n">
        <v>0.327</v>
      </c>
      <c r="L2649" t="n">
        <v>0.594</v>
      </c>
      <c r="M2649" t="n">
        <v>0.079</v>
      </c>
    </row>
    <row r="2650" spans="1:13">
      <c r="A2650" s="1">
        <f>HYPERLINK("http://www.twitter.com/NathanBLawrence/status/988985940868612096", "988985940868612096")</f>
        <v/>
      </c>
      <c r="B2650" s="2" t="n">
        <v>43215.15274305556</v>
      </c>
      <c r="C2650" t="n">
        <v>0</v>
      </c>
      <c r="D2650" t="n">
        <v>0</v>
      </c>
      <c r="E2650" t="s">
        <v>2656</v>
      </c>
      <c r="F2650" t="s"/>
      <c r="G2650" t="s"/>
      <c r="H2650" t="s"/>
      <c r="I2650" t="s"/>
      <c r="J2650" t="n">
        <v>-0.1312</v>
      </c>
      <c r="K2650" t="n">
        <v>0.162</v>
      </c>
      <c r="L2650" t="n">
        <v>0.722</v>
      </c>
      <c r="M2650" t="n">
        <v>0.116</v>
      </c>
    </row>
    <row r="2651" spans="1:13">
      <c r="A2651" s="1">
        <f>HYPERLINK("http://www.twitter.com/NathanBLawrence/status/988982879907540992", "988982879907540992")</f>
        <v/>
      </c>
      <c r="B2651" s="2" t="n">
        <v>43215.14429398148</v>
      </c>
      <c r="C2651" t="n">
        <v>3</v>
      </c>
      <c r="D2651" t="n">
        <v>0</v>
      </c>
      <c r="E2651" t="s">
        <v>2657</v>
      </c>
      <c r="F2651" t="s"/>
      <c r="G2651" t="s"/>
      <c r="H2651" t="s"/>
      <c r="I2651" t="s"/>
      <c r="J2651" t="n">
        <v>0.296</v>
      </c>
      <c r="K2651" t="n">
        <v>0.095</v>
      </c>
      <c r="L2651" t="n">
        <v>0.79</v>
      </c>
      <c r="M2651" t="n">
        <v>0.115</v>
      </c>
    </row>
    <row r="2652" spans="1:13">
      <c r="A2652" s="1">
        <f>HYPERLINK("http://www.twitter.com/NathanBLawrence/status/988954949022306309", "988954949022306309")</f>
        <v/>
      </c>
      <c r="B2652" s="2" t="n">
        <v>43215.06722222222</v>
      </c>
      <c r="C2652" t="n">
        <v>0</v>
      </c>
      <c r="D2652" t="n">
        <v>5</v>
      </c>
      <c r="E2652" t="s">
        <v>2658</v>
      </c>
      <c r="F2652" t="s"/>
      <c r="G2652" t="s"/>
      <c r="H2652" t="s"/>
      <c r="I2652" t="s"/>
      <c r="J2652" t="n">
        <v>-0.7783</v>
      </c>
      <c r="K2652" t="n">
        <v>0.245</v>
      </c>
      <c r="L2652" t="n">
        <v>0.755</v>
      </c>
      <c r="M2652" t="n">
        <v>0</v>
      </c>
    </row>
    <row r="2653" spans="1:13">
      <c r="A2653" s="1">
        <f>HYPERLINK("http://www.twitter.com/NathanBLawrence/status/988954810715164672", "988954810715164672")</f>
        <v/>
      </c>
      <c r="B2653" s="2" t="n">
        <v>43215.06684027778</v>
      </c>
      <c r="C2653" t="n">
        <v>0</v>
      </c>
      <c r="D2653" t="n">
        <v>1165</v>
      </c>
      <c r="E2653" t="s">
        <v>2659</v>
      </c>
      <c r="F2653" t="s"/>
      <c r="G2653" t="s"/>
      <c r="H2653" t="s"/>
      <c r="I2653" t="s"/>
      <c r="J2653" t="n">
        <v>0</v>
      </c>
      <c r="K2653" t="n">
        <v>0</v>
      </c>
      <c r="L2653" t="n">
        <v>1</v>
      </c>
      <c r="M2653" t="n">
        <v>0</v>
      </c>
    </row>
    <row r="2654" spans="1:13">
      <c r="A2654" s="1">
        <f>HYPERLINK("http://www.twitter.com/NathanBLawrence/status/988954694776172546", "988954694776172546")</f>
        <v/>
      </c>
      <c r="B2654" s="2" t="n">
        <v>43215.0665162037</v>
      </c>
      <c r="C2654" t="n">
        <v>0</v>
      </c>
      <c r="D2654" t="n">
        <v>8</v>
      </c>
      <c r="E2654" t="s">
        <v>2660</v>
      </c>
      <c r="F2654" t="s"/>
      <c r="G2654" t="s"/>
      <c r="H2654" t="s"/>
      <c r="I2654" t="s"/>
      <c r="J2654" t="n">
        <v>-0.6597</v>
      </c>
      <c r="K2654" t="n">
        <v>0.357</v>
      </c>
      <c r="L2654" t="n">
        <v>0.522</v>
      </c>
      <c r="M2654" t="n">
        <v>0.122</v>
      </c>
    </row>
    <row r="2655" spans="1:13">
      <c r="A2655" s="1">
        <f>HYPERLINK("http://www.twitter.com/NathanBLawrence/status/988954633887539200", "988954633887539200")</f>
        <v/>
      </c>
      <c r="B2655" s="2" t="n">
        <v>43215.06635416667</v>
      </c>
      <c r="C2655" t="n">
        <v>0</v>
      </c>
      <c r="D2655" t="n">
        <v>2316</v>
      </c>
      <c r="E2655" t="s">
        <v>2661</v>
      </c>
      <c r="F2655" t="s"/>
      <c r="G2655" t="s"/>
      <c r="H2655" t="s"/>
      <c r="I2655" t="s"/>
      <c r="J2655" t="n">
        <v>0.4019</v>
      </c>
      <c r="K2655" t="n">
        <v>0</v>
      </c>
      <c r="L2655" t="n">
        <v>0.803</v>
      </c>
      <c r="M2655" t="n">
        <v>0.197</v>
      </c>
    </row>
    <row r="2656" spans="1:13">
      <c r="A2656" s="1">
        <f>HYPERLINK("http://www.twitter.com/NathanBLawrence/status/988954565767819264", "988954565767819264")</f>
        <v/>
      </c>
      <c r="B2656" s="2" t="n">
        <v>43215.06616898148</v>
      </c>
      <c r="C2656" t="n">
        <v>0</v>
      </c>
      <c r="D2656" t="n">
        <v>948</v>
      </c>
      <c r="E2656" t="s">
        <v>2662</v>
      </c>
      <c r="F2656">
        <f>HYPERLINK("http://pbs.twimg.com/media/Dbl391AWsAAntTR.jpg", "http://pbs.twimg.com/media/Dbl391AWsAAntTR.jpg")</f>
        <v/>
      </c>
      <c r="G2656" t="s"/>
      <c r="H2656" t="s"/>
      <c r="I2656" t="s"/>
      <c r="J2656" t="n">
        <v>0.5859</v>
      </c>
      <c r="K2656" t="n">
        <v>0</v>
      </c>
      <c r="L2656" t="n">
        <v>0.513</v>
      </c>
      <c r="M2656" t="n">
        <v>0.487</v>
      </c>
    </row>
    <row r="2657" spans="1:13">
      <c r="A2657" s="1">
        <f>HYPERLINK("http://www.twitter.com/NathanBLawrence/status/988954331708784640", "988954331708784640")</f>
        <v/>
      </c>
      <c r="B2657" s="2" t="n">
        <v>43215.06552083333</v>
      </c>
      <c r="C2657" t="n">
        <v>3</v>
      </c>
      <c r="D2657" t="n">
        <v>1</v>
      </c>
      <c r="E2657" t="s">
        <v>2663</v>
      </c>
      <c r="F2657" t="s"/>
      <c r="G2657" t="s"/>
      <c r="H2657" t="s"/>
      <c r="I2657" t="s"/>
      <c r="J2657" t="n">
        <v>-0.8225</v>
      </c>
      <c r="K2657" t="n">
        <v>0.409</v>
      </c>
      <c r="L2657" t="n">
        <v>0.591</v>
      </c>
      <c r="M2657" t="n">
        <v>0</v>
      </c>
    </row>
    <row r="2658" spans="1:13">
      <c r="A2658" s="1">
        <f>HYPERLINK("http://www.twitter.com/NathanBLawrence/status/988919409174433792", "988919409174433792")</f>
        <v/>
      </c>
      <c r="B2658" s="2" t="n">
        <v>43214.96915509259</v>
      </c>
      <c r="C2658" t="n">
        <v>0</v>
      </c>
      <c r="D2658" t="n">
        <v>20406</v>
      </c>
      <c r="E2658" t="s">
        <v>2664</v>
      </c>
      <c r="F2658">
        <f>HYPERLINK("https://video.twimg.com/amplify_video/988872084850925568/vid/1280x720/Wl0mcArI9_gZL4M6.mp4?tag=2", "https://video.twimg.com/amplify_video/988872084850925568/vid/1280x720/Wl0mcArI9_gZL4M6.mp4?tag=2")</f>
        <v/>
      </c>
      <c r="G2658" t="s"/>
      <c r="H2658" t="s"/>
      <c r="I2658" t="s"/>
      <c r="J2658" t="n">
        <v>0.6249</v>
      </c>
      <c r="K2658" t="n">
        <v>0</v>
      </c>
      <c r="L2658" t="n">
        <v>0.837</v>
      </c>
      <c r="M2658" t="n">
        <v>0.163</v>
      </c>
    </row>
    <row r="2659" spans="1:13">
      <c r="A2659" s="1">
        <f>HYPERLINK("http://www.twitter.com/NathanBLawrence/status/988919111232057344", "988919111232057344")</f>
        <v/>
      </c>
      <c r="B2659" s="2" t="n">
        <v>43214.96833333333</v>
      </c>
      <c r="C2659" t="n">
        <v>0</v>
      </c>
      <c r="D2659" t="n">
        <v>9279</v>
      </c>
      <c r="E2659" t="s">
        <v>2665</v>
      </c>
      <c r="F2659">
        <f>HYPERLINK("https://video.twimg.com/amplify_video/988851229026586629/vid/1280x720/qLGEnDgekqq2BD_9.mp4?tag=2", "https://video.twimg.com/amplify_video/988851229026586629/vid/1280x720/qLGEnDgekqq2BD_9.mp4?tag=2")</f>
        <v/>
      </c>
      <c r="G2659" t="s"/>
      <c r="H2659" t="s"/>
      <c r="I2659" t="s"/>
      <c r="J2659" t="n">
        <v>0.7783</v>
      </c>
      <c r="K2659" t="n">
        <v>0</v>
      </c>
      <c r="L2659" t="n">
        <v>0.714</v>
      </c>
      <c r="M2659" t="n">
        <v>0.286</v>
      </c>
    </row>
    <row r="2660" spans="1:13">
      <c r="A2660" s="1">
        <f>HYPERLINK("http://www.twitter.com/NathanBLawrence/status/988918981556760577", "988918981556760577")</f>
        <v/>
      </c>
      <c r="B2660" s="2" t="n">
        <v>43214.96797453704</v>
      </c>
      <c r="C2660" t="n">
        <v>0</v>
      </c>
      <c r="D2660" t="n">
        <v>10696</v>
      </c>
      <c r="E2660" t="s">
        <v>2666</v>
      </c>
      <c r="F2660" t="s"/>
      <c r="G2660" t="s"/>
      <c r="H2660" t="s"/>
      <c r="I2660" t="s"/>
      <c r="J2660" t="n">
        <v>0</v>
      </c>
      <c r="K2660" t="n">
        <v>0</v>
      </c>
      <c r="L2660" t="n">
        <v>1</v>
      </c>
      <c r="M2660" t="n">
        <v>0</v>
      </c>
    </row>
    <row r="2661" spans="1:13">
      <c r="A2661" s="1">
        <f>HYPERLINK("http://www.twitter.com/NathanBLawrence/status/988918876141318144", "988918876141318144")</f>
        <v/>
      </c>
      <c r="B2661" s="2" t="n">
        <v>43214.96767361111</v>
      </c>
      <c r="C2661" t="n">
        <v>0</v>
      </c>
      <c r="D2661" t="n">
        <v>16574</v>
      </c>
      <c r="E2661" t="s">
        <v>2667</v>
      </c>
      <c r="F2661" t="s"/>
      <c r="G2661" t="s"/>
      <c r="H2661" t="s"/>
      <c r="I2661" t="s"/>
      <c r="J2661" t="n">
        <v>0.2732</v>
      </c>
      <c r="K2661" t="n">
        <v>0.129</v>
      </c>
      <c r="L2661" t="n">
        <v>0.664</v>
      </c>
      <c r="M2661" t="n">
        <v>0.207</v>
      </c>
    </row>
    <row r="2662" spans="1:13">
      <c r="A2662" s="1">
        <f>HYPERLINK("http://www.twitter.com/NathanBLawrence/status/988918829601378304", "988918829601378304")</f>
        <v/>
      </c>
      <c r="B2662" s="2" t="n">
        <v>43214.9675462963</v>
      </c>
      <c r="C2662" t="n">
        <v>0</v>
      </c>
      <c r="D2662" t="n">
        <v>7029</v>
      </c>
      <c r="E2662" t="s">
        <v>2668</v>
      </c>
      <c r="F2662" t="s"/>
      <c r="G2662" t="s"/>
      <c r="H2662" t="s"/>
      <c r="I2662" t="s"/>
      <c r="J2662" t="n">
        <v>0</v>
      </c>
      <c r="K2662" t="n">
        <v>0</v>
      </c>
      <c r="L2662" t="n">
        <v>1</v>
      </c>
      <c r="M2662" t="n">
        <v>0</v>
      </c>
    </row>
    <row r="2663" spans="1:13">
      <c r="A2663" s="1">
        <f>HYPERLINK("http://www.twitter.com/NathanBLawrence/status/988918504526041089", "988918504526041089")</f>
        <v/>
      </c>
      <c r="B2663" s="2" t="n">
        <v>43214.96665509259</v>
      </c>
      <c r="C2663" t="n">
        <v>0</v>
      </c>
      <c r="D2663" t="n">
        <v>10376</v>
      </c>
      <c r="E2663" t="s">
        <v>2669</v>
      </c>
      <c r="F2663">
        <f>HYPERLINK("http://pbs.twimg.com/media/Dbj_MXaVMAEgiLV.jpg", "http://pbs.twimg.com/media/Dbj_MXaVMAEgiLV.jpg")</f>
        <v/>
      </c>
      <c r="G2663">
        <f>HYPERLINK("http://pbs.twimg.com/media/Dbj_MXcUwAM7sAT.jpg", "http://pbs.twimg.com/media/Dbj_MXcUwAM7sAT.jpg")</f>
        <v/>
      </c>
      <c r="H2663">
        <f>HYPERLINK("http://pbs.twimg.com/media/Dbj_MXgV4AAUNbY.jpg", "http://pbs.twimg.com/media/Dbj_MXgV4AAUNbY.jpg")</f>
        <v/>
      </c>
      <c r="I2663">
        <f>HYPERLINK("http://pbs.twimg.com/media/Dbj_MXxV4AEqXDR.jpg", "http://pbs.twimg.com/media/Dbj_MXxV4AEqXDR.jpg")</f>
        <v/>
      </c>
      <c r="J2663" t="n">
        <v>0.8074</v>
      </c>
      <c r="K2663" t="n">
        <v>0</v>
      </c>
      <c r="L2663" t="n">
        <v>0.722</v>
      </c>
      <c r="M2663" t="n">
        <v>0.278</v>
      </c>
    </row>
    <row r="2664" spans="1:13">
      <c r="A2664" s="1">
        <f>HYPERLINK("http://www.twitter.com/NathanBLawrence/status/988866490743996417", "988866490743996417")</f>
        <v/>
      </c>
      <c r="B2664" s="2" t="n">
        <v>43214.823125</v>
      </c>
      <c r="C2664" t="n">
        <v>0</v>
      </c>
      <c r="D2664" t="n">
        <v>10</v>
      </c>
      <c r="E2664" t="s">
        <v>2670</v>
      </c>
      <c r="F2664">
        <f>HYPERLINK("http://pbs.twimg.com/media/DbkfHgRV4AAdJN0.jpg", "http://pbs.twimg.com/media/DbkfHgRV4AAdJN0.jpg")</f>
        <v/>
      </c>
      <c r="G2664" t="s"/>
      <c r="H2664" t="s"/>
      <c r="I2664" t="s"/>
      <c r="J2664" t="n">
        <v>0</v>
      </c>
      <c r="K2664" t="n">
        <v>0</v>
      </c>
      <c r="L2664" t="n">
        <v>1</v>
      </c>
      <c r="M2664" t="n">
        <v>0</v>
      </c>
    </row>
    <row r="2665" spans="1:13">
      <c r="A2665" s="1">
        <f>HYPERLINK("http://www.twitter.com/NathanBLawrence/status/988866370539438080", "988866370539438080")</f>
        <v/>
      </c>
      <c r="B2665" s="2" t="n">
        <v>43214.82278935185</v>
      </c>
      <c r="C2665" t="n">
        <v>0</v>
      </c>
      <c r="D2665" t="n">
        <v>276</v>
      </c>
      <c r="E2665" t="s">
        <v>2671</v>
      </c>
      <c r="F2665" t="s"/>
      <c r="G2665" t="s"/>
      <c r="H2665" t="s"/>
      <c r="I2665" t="s"/>
      <c r="J2665" t="n">
        <v>0.6369</v>
      </c>
      <c r="K2665" t="n">
        <v>0</v>
      </c>
      <c r="L2665" t="n">
        <v>0.8090000000000001</v>
      </c>
      <c r="M2665" t="n">
        <v>0.191</v>
      </c>
    </row>
    <row r="2666" spans="1:13">
      <c r="A2666" s="1">
        <f>HYPERLINK("http://www.twitter.com/NathanBLawrence/status/988866247726006272", "988866247726006272")</f>
        <v/>
      </c>
      <c r="B2666" s="2" t="n">
        <v>43214.8224537037</v>
      </c>
      <c r="C2666" t="n">
        <v>0</v>
      </c>
      <c r="D2666" t="n">
        <v>1196</v>
      </c>
      <c r="E2666" t="s">
        <v>2672</v>
      </c>
      <c r="F2666" t="s"/>
      <c r="G2666" t="s"/>
      <c r="H2666" t="s"/>
      <c r="I2666" t="s"/>
      <c r="J2666" t="n">
        <v>-0.5266999999999999</v>
      </c>
      <c r="K2666" t="n">
        <v>0.134</v>
      </c>
      <c r="L2666" t="n">
        <v>0.866</v>
      </c>
      <c r="M2666" t="n">
        <v>0</v>
      </c>
    </row>
    <row r="2667" spans="1:13">
      <c r="A2667" s="1">
        <f>HYPERLINK("http://www.twitter.com/NathanBLawrence/status/988866202029051904", "988866202029051904")</f>
        <v/>
      </c>
      <c r="B2667" s="2" t="n">
        <v>43214.82232638889</v>
      </c>
      <c r="C2667" t="n">
        <v>0</v>
      </c>
      <c r="D2667" t="n">
        <v>12</v>
      </c>
      <c r="E2667" t="s">
        <v>2673</v>
      </c>
      <c r="F2667">
        <f>HYPERLINK("http://pbs.twimg.com/media/DbklY4nWkAACgWt.jpg", "http://pbs.twimg.com/media/DbklY4nWkAACgWt.jpg")</f>
        <v/>
      </c>
      <c r="G2667" t="s"/>
      <c r="H2667" t="s"/>
      <c r="I2667" t="s"/>
      <c r="J2667" t="n">
        <v>0</v>
      </c>
      <c r="K2667" t="n">
        <v>0</v>
      </c>
      <c r="L2667" t="n">
        <v>1</v>
      </c>
      <c r="M2667" t="n">
        <v>0</v>
      </c>
    </row>
    <row r="2668" spans="1:13">
      <c r="A2668" s="1">
        <f>HYPERLINK("http://www.twitter.com/NathanBLawrence/status/988866127118852096", "988866127118852096")</f>
        <v/>
      </c>
      <c r="B2668" s="2" t="n">
        <v>43214.82211805556</v>
      </c>
      <c r="C2668" t="n">
        <v>0</v>
      </c>
      <c r="D2668" t="n">
        <v>805</v>
      </c>
      <c r="E2668" t="s">
        <v>2674</v>
      </c>
      <c r="F2668" t="s"/>
      <c r="G2668" t="s"/>
      <c r="H2668" t="s"/>
      <c r="I2668" t="s"/>
      <c r="J2668" t="n">
        <v>0.6369</v>
      </c>
      <c r="K2668" t="n">
        <v>0</v>
      </c>
      <c r="L2668" t="n">
        <v>0.851</v>
      </c>
      <c r="M2668" t="n">
        <v>0.149</v>
      </c>
    </row>
    <row r="2669" spans="1:13">
      <c r="A2669" s="1">
        <f>HYPERLINK("http://www.twitter.com/NathanBLawrence/status/988866058797776896", "988866058797776896")</f>
        <v/>
      </c>
      <c r="B2669" s="2" t="n">
        <v>43214.82193287037</v>
      </c>
      <c r="C2669" t="n">
        <v>0</v>
      </c>
      <c r="D2669" t="n">
        <v>10</v>
      </c>
      <c r="E2669" t="s">
        <v>2675</v>
      </c>
      <c r="F2669" t="s"/>
      <c r="G2669" t="s"/>
      <c r="H2669" t="s"/>
      <c r="I2669" t="s"/>
      <c r="J2669" t="n">
        <v>0.7506</v>
      </c>
      <c r="K2669" t="n">
        <v>0</v>
      </c>
      <c r="L2669" t="n">
        <v>0.726</v>
      </c>
      <c r="M2669" t="n">
        <v>0.274</v>
      </c>
    </row>
    <row r="2670" spans="1:13">
      <c r="A2670" s="1">
        <f>HYPERLINK("http://www.twitter.com/NathanBLawrence/status/988865940208009216", "988865940208009216")</f>
        <v/>
      </c>
      <c r="B2670" s="2" t="n">
        <v>43214.82160879629</v>
      </c>
      <c r="C2670" t="n">
        <v>0</v>
      </c>
      <c r="D2670" t="n">
        <v>14776</v>
      </c>
      <c r="E2670" t="s">
        <v>2676</v>
      </c>
      <c r="F2670" t="s"/>
      <c r="G2670" t="s"/>
      <c r="H2670" t="s"/>
      <c r="I2670" t="s"/>
      <c r="J2670" t="n">
        <v>-0.9073</v>
      </c>
      <c r="K2670" t="n">
        <v>0.421</v>
      </c>
      <c r="L2670" t="n">
        <v>0.579</v>
      </c>
      <c r="M2670" t="n">
        <v>0</v>
      </c>
    </row>
    <row r="2671" spans="1:13">
      <c r="A2671" s="1">
        <f>HYPERLINK("http://www.twitter.com/NathanBLawrence/status/988865860553981952", "988865860553981952")</f>
        <v/>
      </c>
      <c r="B2671" s="2" t="n">
        <v>43214.82138888889</v>
      </c>
      <c r="C2671" t="n">
        <v>0</v>
      </c>
      <c r="D2671" t="n">
        <v>2642</v>
      </c>
      <c r="E2671" t="s">
        <v>2677</v>
      </c>
      <c r="F2671">
        <f>HYPERLINK("http://pbs.twimg.com/media/Dbkg1vyVAAAfHid.jpg", "http://pbs.twimg.com/media/Dbkg1vyVAAAfHid.jpg")</f>
        <v/>
      </c>
      <c r="G2671">
        <f>HYPERLINK("http://pbs.twimg.com/media/DbkguyMUQAElFSy.jpg", "http://pbs.twimg.com/media/DbkguyMUQAElFSy.jpg")</f>
        <v/>
      </c>
      <c r="H2671">
        <f>HYPERLINK("http://pbs.twimg.com/media/DbkgxjhVAAAIMos.jpg", "http://pbs.twimg.com/media/DbkgxjhVAAAIMos.jpg")</f>
        <v/>
      </c>
      <c r="I2671" t="s"/>
      <c r="J2671" t="n">
        <v>0.8702</v>
      </c>
      <c r="K2671" t="n">
        <v>0</v>
      </c>
      <c r="L2671" t="n">
        <v>0.6909999999999999</v>
      </c>
      <c r="M2671" t="n">
        <v>0.309</v>
      </c>
    </row>
    <row r="2672" spans="1:13">
      <c r="A2672" s="1">
        <f>HYPERLINK("http://www.twitter.com/NathanBLawrence/status/988865305400168448", "988865305400168448")</f>
        <v/>
      </c>
      <c r="B2672" s="2" t="n">
        <v>43214.81984953704</v>
      </c>
      <c r="C2672" t="n">
        <v>0</v>
      </c>
      <c r="D2672" t="n">
        <v>1</v>
      </c>
      <c r="E2672" t="s">
        <v>2678</v>
      </c>
      <c r="F2672" t="s"/>
      <c r="G2672" t="s"/>
      <c r="H2672" t="s"/>
      <c r="I2672" t="s"/>
      <c r="J2672" t="n">
        <v>0</v>
      </c>
      <c r="K2672" t="n">
        <v>0</v>
      </c>
      <c r="L2672" t="n">
        <v>1</v>
      </c>
      <c r="M2672" t="n">
        <v>0</v>
      </c>
    </row>
    <row r="2673" spans="1:13">
      <c r="A2673" s="1">
        <f>HYPERLINK("http://www.twitter.com/NathanBLawrence/status/988862407870054400", "988862407870054400")</f>
        <v/>
      </c>
      <c r="B2673" s="2" t="n">
        <v>43214.81185185185</v>
      </c>
      <c r="C2673" t="n">
        <v>0</v>
      </c>
      <c r="D2673" t="n">
        <v>8</v>
      </c>
      <c r="E2673" t="s">
        <v>2679</v>
      </c>
      <c r="F2673" t="s"/>
      <c r="G2673" t="s"/>
      <c r="H2673" t="s"/>
      <c r="I2673" t="s"/>
      <c r="J2673" t="n">
        <v>0</v>
      </c>
      <c r="K2673" t="n">
        <v>0</v>
      </c>
      <c r="L2673" t="n">
        <v>1</v>
      </c>
      <c r="M2673" t="n">
        <v>0</v>
      </c>
    </row>
    <row r="2674" spans="1:13">
      <c r="A2674" s="1">
        <f>HYPERLINK("http://www.twitter.com/NathanBLawrence/status/988862350840086529", "988862350840086529")</f>
        <v/>
      </c>
      <c r="B2674" s="2" t="n">
        <v>43214.81170138889</v>
      </c>
      <c r="C2674" t="n">
        <v>0</v>
      </c>
      <c r="D2674" t="n">
        <v>3</v>
      </c>
      <c r="E2674" t="s">
        <v>2680</v>
      </c>
      <c r="F2674" t="s"/>
      <c r="G2674" t="s"/>
      <c r="H2674" t="s"/>
      <c r="I2674" t="s"/>
      <c r="J2674" t="n">
        <v>0.4574</v>
      </c>
      <c r="K2674" t="n">
        <v>0</v>
      </c>
      <c r="L2674" t="n">
        <v>0.85</v>
      </c>
      <c r="M2674" t="n">
        <v>0.15</v>
      </c>
    </row>
    <row r="2675" spans="1:13">
      <c r="A2675" s="1">
        <f>HYPERLINK("http://www.twitter.com/NathanBLawrence/status/988860862373900288", "988860862373900288")</f>
        <v/>
      </c>
      <c r="B2675" s="2" t="n">
        <v>43214.8075925926</v>
      </c>
      <c r="C2675" t="n">
        <v>0</v>
      </c>
      <c r="D2675" t="n">
        <v>5</v>
      </c>
      <c r="E2675" t="s">
        <v>2681</v>
      </c>
      <c r="F2675">
        <f>HYPERLINK("http://pbs.twimg.com/media/Dba0VLuU8AEyGgK.jpg", "http://pbs.twimg.com/media/Dba0VLuU8AEyGgK.jpg")</f>
        <v/>
      </c>
      <c r="G2675" t="s"/>
      <c r="H2675" t="s"/>
      <c r="I2675" t="s"/>
      <c r="J2675" t="n">
        <v>0.6758999999999999</v>
      </c>
      <c r="K2675" t="n">
        <v>0</v>
      </c>
      <c r="L2675" t="n">
        <v>0.627</v>
      </c>
      <c r="M2675" t="n">
        <v>0.373</v>
      </c>
    </row>
    <row r="2676" spans="1:13">
      <c r="A2676" s="1">
        <f>HYPERLINK("http://www.twitter.com/NathanBLawrence/status/988860770199846912", "988860770199846912")</f>
        <v/>
      </c>
      <c r="B2676" s="2" t="n">
        <v>43214.80733796296</v>
      </c>
      <c r="C2676" t="n">
        <v>0</v>
      </c>
      <c r="D2676" t="n">
        <v>8</v>
      </c>
      <c r="E2676" t="s">
        <v>2682</v>
      </c>
      <c r="F2676" t="s"/>
      <c r="G2676" t="s"/>
      <c r="H2676" t="s"/>
      <c r="I2676" t="s"/>
      <c r="J2676" t="n">
        <v>-0.5707</v>
      </c>
      <c r="K2676" t="n">
        <v>0.198</v>
      </c>
      <c r="L2676" t="n">
        <v>0.802</v>
      </c>
      <c r="M2676" t="n">
        <v>0</v>
      </c>
    </row>
    <row r="2677" spans="1:13">
      <c r="A2677" s="1">
        <f>HYPERLINK("http://www.twitter.com/NathanBLawrence/status/988860465097801728", "988860465097801728")</f>
        <v/>
      </c>
      <c r="B2677" s="2" t="n">
        <v>43214.80649305556</v>
      </c>
      <c r="C2677" t="n">
        <v>0</v>
      </c>
      <c r="D2677" t="n">
        <v>719</v>
      </c>
      <c r="E2677" t="s">
        <v>2683</v>
      </c>
      <c r="F2677" t="s"/>
      <c r="G2677" t="s"/>
      <c r="H2677" t="s"/>
      <c r="I2677" t="s"/>
      <c r="J2677" t="n">
        <v>-0.5859</v>
      </c>
      <c r="K2677" t="n">
        <v>0.202</v>
      </c>
      <c r="L2677" t="n">
        <v>0.798</v>
      </c>
      <c r="M2677" t="n">
        <v>0</v>
      </c>
    </row>
    <row r="2678" spans="1:13">
      <c r="A2678" s="1">
        <f>HYPERLINK("http://www.twitter.com/NathanBLawrence/status/988860088617070592", "988860088617070592")</f>
        <v/>
      </c>
      <c r="B2678" s="2" t="n">
        <v>43214.80545138889</v>
      </c>
      <c r="C2678" t="n">
        <v>0</v>
      </c>
      <c r="D2678" t="n">
        <v>3934</v>
      </c>
      <c r="E2678" t="s">
        <v>2684</v>
      </c>
      <c r="F2678">
        <f>HYPERLINK("http://pbs.twimg.com/media/DbT9-ePUwAAB5UV.jpg", "http://pbs.twimg.com/media/DbT9-ePUwAAB5UV.jpg")</f>
        <v/>
      </c>
      <c r="G2678" t="s"/>
      <c r="H2678" t="s"/>
      <c r="I2678" t="s"/>
      <c r="J2678" t="n">
        <v>-0.008500000000000001</v>
      </c>
      <c r="K2678" t="n">
        <v>0.112</v>
      </c>
      <c r="L2678" t="n">
        <v>0.74</v>
      </c>
      <c r="M2678" t="n">
        <v>0.148</v>
      </c>
    </row>
    <row r="2679" spans="1:13">
      <c r="A2679" s="1">
        <f>HYPERLINK("http://www.twitter.com/NathanBLawrence/status/988859400872865792", "988859400872865792")</f>
        <v/>
      </c>
      <c r="B2679" s="2" t="n">
        <v>43214.80355324074</v>
      </c>
      <c r="C2679" t="n">
        <v>0</v>
      </c>
      <c r="D2679" t="n">
        <v>7</v>
      </c>
      <c r="E2679" t="s">
        <v>2685</v>
      </c>
      <c r="F2679" t="s"/>
      <c r="G2679" t="s"/>
      <c r="H2679" t="s"/>
      <c r="I2679" t="s"/>
      <c r="J2679" t="n">
        <v>-0.459</v>
      </c>
      <c r="K2679" t="n">
        <v>0.132</v>
      </c>
      <c r="L2679" t="n">
        <v>0.8090000000000001</v>
      </c>
      <c r="M2679" t="n">
        <v>0.059</v>
      </c>
    </row>
    <row r="2680" spans="1:13">
      <c r="A2680" s="1">
        <f>HYPERLINK("http://www.twitter.com/NathanBLawrence/status/988859305787969537", "988859305787969537")</f>
        <v/>
      </c>
      <c r="B2680" s="2" t="n">
        <v>43214.80329861111</v>
      </c>
      <c r="C2680" t="n">
        <v>0</v>
      </c>
      <c r="D2680" t="n">
        <v>7</v>
      </c>
      <c r="E2680" t="s">
        <v>2686</v>
      </c>
      <c r="F2680" t="s"/>
      <c r="G2680" t="s"/>
      <c r="H2680" t="s"/>
      <c r="I2680" t="s"/>
      <c r="J2680" t="n">
        <v>0.3818</v>
      </c>
      <c r="K2680" t="n">
        <v>0</v>
      </c>
      <c r="L2680" t="n">
        <v>0.874</v>
      </c>
      <c r="M2680" t="n">
        <v>0.126</v>
      </c>
    </row>
    <row r="2681" spans="1:13">
      <c r="A2681" s="1">
        <f>HYPERLINK("http://www.twitter.com/NathanBLawrence/status/988858792925265922", "988858792925265922")</f>
        <v/>
      </c>
      <c r="B2681" s="2" t="n">
        <v>43214.801875</v>
      </c>
      <c r="C2681" t="n">
        <v>4</v>
      </c>
      <c r="D2681" t="n">
        <v>2</v>
      </c>
      <c r="E2681" t="s">
        <v>2687</v>
      </c>
      <c r="F2681" t="s"/>
      <c r="G2681" t="s"/>
      <c r="H2681" t="s"/>
      <c r="I2681" t="s"/>
      <c r="J2681" t="n">
        <v>-0.7125</v>
      </c>
      <c r="K2681" t="n">
        <v>0.138</v>
      </c>
      <c r="L2681" t="n">
        <v>0.862</v>
      </c>
      <c r="M2681" t="n">
        <v>0</v>
      </c>
    </row>
    <row r="2682" spans="1:13">
      <c r="A2682" s="1">
        <f>HYPERLINK("http://www.twitter.com/NathanBLawrence/status/988858116979621888", "988858116979621888")</f>
        <v/>
      </c>
      <c r="B2682" s="2" t="n">
        <v>43214.80001157407</v>
      </c>
      <c r="C2682" t="n">
        <v>0</v>
      </c>
      <c r="D2682" t="n">
        <v>7</v>
      </c>
      <c r="E2682" t="s">
        <v>2688</v>
      </c>
      <c r="F2682" t="s"/>
      <c r="G2682" t="s"/>
      <c r="H2682" t="s"/>
      <c r="I2682" t="s"/>
      <c r="J2682" t="n">
        <v>0.3612</v>
      </c>
      <c r="K2682" t="n">
        <v>0</v>
      </c>
      <c r="L2682" t="n">
        <v>0.902</v>
      </c>
      <c r="M2682" t="n">
        <v>0.098</v>
      </c>
    </row>
    <row r="2683" spans="1:13">
      <c r="A2683" s="1">
        <f>HYPERLINK("http://www.twitter.com/NathanBLawrence/status/988857533883281408", "988857533883281408")</f>
        <v/>
      </c>
      <c r="B2683" s="2" t="n">
        <v>43214.79840277778</v>
      </c>
      <c r="C2683" t="n">
        <v>0</v>
      </c>
      <c r="D2683" t="n">
        <v>2</v>
      </c>
      <c r="E2683" t="s">
        <v>2689</v>
      </c>
      <c r="F2683" t="s"/>
      <c r="G2683" t="s"/>
      <c r="H2683" t="s"/>
      <c r="I2683" t="s"/>
      <c r="J2683" t="n">
        <v>0.8663</v>
      </c>
      <c r="K2683" t="n">
        <v>0</v>
      </c>
      <c r="L2683" t="n">
        <v>0.694</v>
      </c>
      <c r="M2683" t="n">
        <v>0.306</v>
      </c>
    </row>
    <row r="2684" spans="1:13">
      <c r="A2684" s="1">
        <f>HYPERLINK("http://www.twitter.com/NathanBLawrence/status/988857446885089280", "988857446885089280")</f>
        <v/>
      </c>
      <c r="B2684" s="2" t="n">
        <v>43214.79817129629</v>
      </c>
      <c r="C2684" t="n">
        <v>0</v>
      </c>
      <c r="D2684" t="n">
        <v>1786</v>
      </c>
      <c r="E2684" t="s">
        <v>2690</v>
      </c>
      <c r="F2684" t="s"/>
      <c r="G2684" t="s"/>
      <c r="H2684" t="s"/>
      <c r="I2684" t="s"/>
      <c r="J2684" t="n">
        <v>0.5859</v>
      </c>
      <c r="K2684" t="n">
        <v>0.081</v>
      </c>
      <c r="L2684" t="n">
        <v>0.709</v>
      </c>
      <c r="M2684" t="n">
        <v>0.209</v>
      </c>
    </row>
    <row r="2685" spans="1:13">
      <c r="A2685" s="1">
        <f>HYPERLINK("http://www.twitter.com/NathanBLawrence/status/988856950212280320", "988856950212280320")</f>
        <v/>
      </c>
      <c r="B2685" s="2" t="n">
        <v>43214.79679398148</v>
      </c>
      <c r="C2685" t="n">
        <v>0</v>
      </c>
      <c r="D2685" t="n">
        <v>2</v>
      </c>
      <c r="E2685" t="s">
        <v>2691</v>
      </c>
      <c r="F2685" t="s"/>
      <c r="G2685" t="s"/>
      <c r="H2685" t="s"/>
      <c r="I2685" t="s"/>
      <c r="J2685" t="n">
        <v>0</v>
      </c>
      <c r="K2685" t="n">
        <v>0</v>
      </c>
      <c r="L2685" t="n">
        <v>1</v>
      </c>
      <c r="M2685" t="n">
        <v>0</v>
      </c>
    </row>
    <row r="2686" spans="1:13">
      <c r="A2686" s="1">
        <f>HYPERLINK("http://www.twitter.com/NathanBLawrence/status/988856857123999744", "988856857123999744")</f>
        <v/>
      </c>
      <c r="B2686" s="2" t="n">
        <v>43214.79653935185</v>
      </c>
      <c r="C2686" t="n">
        <v>0</v>
      </c>
      <c r="D2686" t="n">
        <v>2</v>
      </c>
      <c r="E2686" t="s">
        <v>2692</v>
      </c>
      <c r="F2686" t="s"/>
      <c r="G2686" t="s"/>
      <c r="H2686" t="s"/>
      <c r="I2686" t="s"/>
      <c r="J2686" t="n">
        <v>-0.3875</v>
      </c>
      <c r="K2686" t="n">
        <v>0.122</v>
      </c>
      <c r="L2686" t="n">
        <v>0.878</v>
      </c>
      <c r="M2686" t="n">
        <v>0</v>
      </c>
    </row>
    <row r="2687" spans="1:13">
      <c r="A2687" s="1">
        <f>HYPERLINK("http://www.twitter.com/NathanBLawrence/status/988856419561738243", "988856419561738243")</f>
        <v/>
      </c>
      <c r="B2687" s="2" t="n">
        <v>43214.79533564814</v>
      </c>
      <c r="C2687" t="n">
        <v>0</v>
      </c>
      <c r="D2687" t="n">
        <v>2</v>
      </c>
      <c r="E2687" t="s">
        <v>2693</v>
      </c>
      <c r="F2687" t="s"/>
      <c r="G2687" t="s"/>
      <c r="H2687" t="s"/>
      <c r="I2687" t="s"/>
      <c r="J2687" t="n">
        <v>0.4767</v>
      </c>
      <c r="K2687" t="n">
        <v>0</v>
      </c>
      <c r="L2687" t="n">
        <v>0.549</v>
      </c>
      <c r="M2687" t="n">
        <v>0.451</v>
      </c>
    </row>
    <row r="2688" spans="1:13">
      <c r="A2688" s="1">
        <f>HYPERLINK("http://www.twitter.com/NathanBLawrence/status/988856076652003329", "988856076652003329")</f>
        <v/>
      </c>
      <c r="B2688" s="2" t="n">
        <v>43214.79438657407</v>
      </c>
      <c r="C2688" t="n">
        <v>0</v>
      </c>
      <c r="D2688" t="n">
        <v>2</v>
      </c>
      <c r="E2688" t="s">
        <v>2694</v>
      </c>
      <c r="F2688" t="s"/>
      <c r="G2688" t="s"/>
      <c r="H2688" t="s"/>
      <c r="I2688" t="s"/>
      <c r="J2688" t="n">
        <v>0</v>
      </c>
      <c r="K2688" t="n">
        <v>0</v>
      </c>
      <c r="L2688" t="n">
        <v>1</v>
      </c>
      <c r="M2688" t="n">
        <v>0</v>
      </c>
    </row>
    <row r="2689" spans="1:13">
      <c r="A2689" s="1">
        <f>HYPERLINK("http://www.twitter.com/NathanBLawrence/status/988855914072489985", "988855914072489985")</f>
        <v/>
      </c>
      <c r="B2689" s="2" t="n">
        <v>43214.79393518518</v>
      </c>
      <c r="C2689" t="n">
        <v>5</v>
      </c>
      <c r="D2689" t="n">
        <v>3</v>
      </c>
      <c r="E2689" t="s">
        <v>2695</v>
      </c>
      <c r="F2689" t="s"/>
      <c r="G2689" t="s"/>
      <c r="H2689" t="s"/>
      <c r="I2689" t="s"/>
      <c r="J2689" t="n">
        <v>-0.5266999999999999</v>
      </c>
      <c r="K2689" t="n">
        <v>0.108</v>
      </c>
      <c r="L2689" t="n">
        <v>0.892</v>
      </c>
      <c r="M2689" t="n">
        <v>0</v>
      </c>
    </row>
    <row r="2690" spans="1:13">
      <c r="A2690" s="1">
        <f>HYPERLINK("http://www.twitter.com/NathanBLawrence/status/988854981540249602", "988854981540249602")</f>
        <v/>
      </c>
      <c r="B2690" s="2" t="n">
        <v>43214.79136574074</v>
      </c>
      <c r="C2690" t="n">
        <v>0</v>
      </c>
      <c r="D2690" t="n">
        <v>1</v>
      </c>
      <c r="E2690" t="s">
        <v>2696</v>
      </c>
      <c r="F2690" t="s"/>
      <c r="G2690" t="s"/>
      <c r="H2690" t="s"/>
      <c r="I2690" t="s"/>
      <c r="J2690" t="n">
        <v>0</v>
      </c>
      <c r="K2690" t="n">
        <v>0</v>
      </c>
      <c r="L2690" t="n">
        <v>1</v>
      </c>
      <c r="M2690" t="n">
        <v>0</v>
      </c>
    </row>
    <row r="2691" spans="1:13">
      <c r="A2691" s="1">
        <f>HYPERLINK("http://www.twitter.com/NathanBLawrence/status/988854440995184641", "988854440995184641")</f>
        <v/>
      </c>
      <c r="B2691" s="2" t="n">
        <v>43214.78987268519</v>
      </c>
      <c r="C2691" t="n">
        <v>0</v>
      </c>
      <c r="D2691" t="n">
        <v>1</v>
      </c>
      <c r="E2691" t="s">
        <v>2697</v>
      </c>
      <c r="F2691" t="s"/>
      <c r="G2691" t="s"/>
      <c r="H2691" t="s"/>
      <c r="I2691" t="s"/>
      <c r="J2691" t="n">
        <v>0</v>
      </c>
      <c r="K2691" t="n">
        <v>0</v>
      </c>
      <c r="L2691" t="n">
        <v>1</v>
      </c>
      <c r="M2691" t="n">
        <v>0</v>
      </c>
    </row>
    <row r="2692" spans="1:13">
      <c r="A2692" s="1">
        <f>HYPERLINK("http://www.twitter.com/NathanBLawrence/status/988854035892453376", "988854035892453376")</f>
        <v/>
      </c>
      <c r="B2692" s="2" t="n">
        <v>43214.78875</v>
      </c>
      <c r="C2692" t="n">
        <v>5</v>
      </c>
      <c r="D2692" t="n">
        <v>3</v>
      </c>
      <c r="E2692" t="s">
        <v>2698</v>
      </c>
      <c r="F2692">
        <f>HYPERLINK("http://pbs.twimg.com/media/DbkdUekUwAAlZqg.jpg", "http://pbs.twimg.com/media/DbkdUekUwAAlZqg.jpg")</f>
        <v/>
      </c>
      <c r="G2692">
        <f>HYPERLINK("http://pbs.twimg.com/media/DbkdVrrV4AAnufb.jpg", "http://pbs.twimg.com/media/DbkdVrrV4AAnufb.jpg")</f>
        <v/>
      </c>
      <c r="H2692">
        <f>HYPERLINK("http://pbs.twimg.com/media/DbkdWvkU8AISNb4.jpg", "http://pbs.twimg.com/media/DbkdWvkU8AISNb4.jpg")</f>
        <v/>
      </c>
      <c r="I2692" t="s"/>
      <c r="J2692" t="n">
        <v>-0.798</v>
      </c>
      <c r="K2692" t="n">
        <v>0.223</v>
      </c>
      <c r="L2692" t="n">
        <v>0.679</v>
      </c>
      <c r="M2692" t="n">
        <v>0.099</v>
      </c>
    </row>
    <row r="2693" spans="1:13">
      <c r="A2693" s="1">
        <f>HYPERLINK("http://www.twitter.com/NathanBLawrence/status/988851760289624064", "988851760289624064")</f>
        <v/>
      </c>
      <c r="B2693" s="2" t="n">
        <v>43214.78247685185</v>
      </c>
      <c r="C2693" t="n">
        <v>0</v>
      </c>
      <c r="D2693" t="n">
        <v>2</v>
      </c>
      <c r="E2693" t="s">
        <v>2699</v>
      </c>
      <c r="F2693" t="s"/>
      <c r="G2693" t="s"/>
      <c r="H2693" t="s"/>
      <c r="I2693" t="s"/>
      <c r="J2693" t="n">
        <v>-0.3595</v>
      </c>
      <c r="K2693" t="n">
        <v>0.116</v>
      </c>
      <c r="L2693" t="n">
        <v>0.884</v>
      </c>
      <c r="M2693" t="n">
        <v>0</v>
      </c>
    </row>
    <row r="2694" spans="1:13">
      <c r="A2694" s="1">
        <f>HYPERLINK("http://www.twitter.com/NathanBLawrence/status/988850981365366787", "988850981365366787")</f>
        <v/>
      </c>
      <c r="B2694" s="2" t="n">
        <v>43214.78032407408</v>
      </c>
      <c r="C2694" t="n">
        <v>1</v>
      </c>
      <c r="D2694" t="n">
        <v>0</v>
      </c>
      <c r="E2694" t="s">
        <v>2700</v>
      </c>
      <c r="F2694">
        <f>HYPERLINK("http://pbs.twimg.com/media/DbkaUzBV0AEyMS2.jpg", "http://pbs.twimg.com/media/DbkaUzBV0AEyMS2.jpg")</f>
        <v/>
      </c>
      <c r="G2694">
        <f>HYPERLINK("http://pbs.twimg.com/media/DbkaqvKUQAAOSlf.jpg", "http://pbs.twimg.com/media/DbkaqvKUQAAOSlf.jpg")</f>
        <v/>
      </c>
      <c r="H2694">
        <f>HYPERLINK("http://pbs.twimg.com/media/Dbkar87VMAE21IW.jpg", "http://pbs.twimg.com/media/Dbkar87VMAE21IW.jpg")</f>
        <v/>
      </c>
      <c r="I2694" t="s"/>
      <c r="J2694" t="n">
        <v>-0.2732</v>
      </c>
      <c r="K2694" t="n">
        <v>0.078</v>
      </c>
      <c r="L2694" t="n">
        <v>0.868</v>
      </c>
      <c r="M2694" t="n">
        <v>0.054</v>
      </c>
    </row>
    <row r="2695" spans="1:13">
      <c r="A2695" s="1">
        <f>HYPERLINK("http://www.twitter.com/NathanBLawrence/status/988849019958022145", "988849019958022145")</f>
        <v/>
      </c>
      <c r="B2695" s="2" t="n">
        <v>43214.77490740741</v>
      </c>
      <c r="C2695" t="n">
        <v>0</v>
      </c>
      <c r="D2695" t="n">
        <v>95</v>
      </c>
      <c r="E2695" t="s">
        <v>2701</v>
      </c>
      <c r="F2695" t="s"/>
      <c r="G2695" t="s"/>
      <c r="H2695" t="s"/>
      <c r="I2695" t="s"/>
      <c r="J2695" t="n">
        <v>-0.5106000000000001</v>
      </c>
      <c r="K2695" t="n">
        <v>0.142</v>
      </c>
      <c r="L2695" t="n">
        <v>0.858</v>
      </c>
      <c r="M2695" t="n">
        <v>0</v>
      </c>
    </row>
    <row r="2696" spans="1:13">
      <c r="A2696" s="1">
        <f>HYPERLINK("http://www.twitter.com/NathanBLawrence/status/988848969005531136", "988848969005531136")</f>
        <v/>
      </c>
      <c r="B2696" s="2" t="n">
        <v>43214.77476851852</v>
      </c>
      <c r="C2696" t="n">
        <v>0</v>
      </c>
      <c r="D2696" t="n">
        <v>2499</v>
      </c>
      <c r="E2696" t="s">
        <v>2702</v>
      </c>
      <c r="F2696" t="s"/>
      <c r="G2696" t="s"/>
      <c r="H2696" t="s"/>
      <c r="I2696" t="s"/>
      <c r="J2696" t="n">
        <v>0.4215</v>
      </c>
      <c r="K2696" t="n">
        <v>0</v>
      </c>
      <c r="L2696" t="n">
        <v>0.891</v>
      </c>
      <c r="M2696" t="n">
        <v>0.109</v>
      </c>
    </row>
    <row r="2697" spans="1:13">
      <c r="A2697" s="1">
        <f>HYPERLINK("http://www.twitter.com/NathanBLawrence/status/988848541073330176", "988848541073330176")</f>
        <v/>
      </c>
      <c r="B2697" s="2" t="n">
        <v>43214.77358796296</v>
      </c>
      <c r="C2697" t="n">
        <v>0</v>
      </c>
      <c r="D2697" t="n">
        <v>0</v>
      </c>
      <c r="E2697" t="s">
        <v>2703</v>
      </c>
      <c r="F2697" t="s"/>
      <c r="G2697" t="s"/>
      <c r="H2697" t="s"/>
      <c r="I2697" t="s"/>
      <c r="J2697" t="n">
        <v>-0.8176</v>
      </c>
      <c r="K2697" t="n">
        <v>0.359</v>
      </c>
      <c r="L2697" t="n">
        <v>0.491</v>
      </c>
      <c r="M2697" t="n">
        <v>0.15</v>
      </c>
    </row>
    <row r="2698" spans="1:13">
      <c r="A2698" s="1">
        <f>HYPERLINK("http://www.twitter.com/NathanBLawrence/status/988846014508478471", "988846014508478471")</f>
        <v/>
      </c>
      <c r="B2698" s="2" t="n">
        <v>43214.76662037037</v>
      </c>
      <c r="C2698" t="n">
        <v>0</v>
      </c>
      <c r="D2698" t="n">
        <v>33</v>
      </c>
      <c r="E2698" t="s">
        <v>2704</v>
      </c>
      <c r="F2698">
        <f>HYPERLINK("http://pbs.twimg.com/media/DbkUkzkWAAIXbtP.jpg", "http://pbs.twimg.com/media/DbkUkzkWAAIXbtP.jpg")</f>
        <v/>
      </c>
      <c r="G2698" t="s"/>
      <c r="H2698" t="s"/>
      <c r="I2698" t="s"/>
      <c r="J2698" t="n">
        <v>0.555</v>
      </c>
      <c r="K2698" t="n">
        <v>0</v>
      </c>
      <c r="L2698" t="n">
        <v>0.796</v>
      </c>
      <c r="M2698" t="n">
        <v>0.204</v>
      </c>
    </row>
    <row r="2699" spans="1:13">
      <c r="A2699" s="1">
        <f>HYPERLINK("http://www.twitter.com/NathanBLawrence/status/988845856391618560", "988845856391618560")</f>
        <v/>
      </c>
      <c r="B2699" s="2" t="n">
        <v>43214.76618055555</v>
      </c>
      <c r="C2699" t="n">
        <v>0</v>
      </c>
      <c r="D2699" t="n">
        <v>0</v>
      </c>
      <c r="E2699" t="s">
        <v>2705</v>
      </c>
      <c r="F2699" t="s"/>
      <c r="G2699" t="s"/>
      <c r="H2699" t="s"/>
      <c r="I2699" t="s"/>
      <c r="J2699" t="n">
        <v>0</v>
      </c>
      <c r="K2699" t="n">
        <v>0</v>
      </c>
      <c r="L2699" t="n">
        <v>1</v>
      </c>
      <c r="M2699" t="n">
        <v>0</v>
      </c>
    </row>
    <row r="2700" spans="1:13">
      <c r="A2700" s="1">
        <f>HYPERLINK("http://www.twitter.com/NathanBLawrence/status/988845554699591680", "988845554699591680")</f>
        <v/>
      </c>
      <c r="B2700" s="2" t="n">
        <v>43214.76534722222</v>
      </c>
      <c r="C2700" t="n">
        <v>0</v>
      </c>
      <c r="D2700" t="n">
        <v>741</v>
      </c>
      <c r="E2700" t="s">
        <v>2706</v>
      </c>
      <c r="F2700" t="s"/>
      <c r="G2700" t="s"/>
      <c r="H2700" t="s"/>
      <c r="I2700" t="s"/>
      <c r="J2700" t="n">
        <v>-0.1531</v>
      </c>
      <c r="K2700" t="n">
        <v>0.155</v>
      </c>
      <c r="L2700" t="n">
        <v>0.722</v>
      </c>
      <c r="M2700" t="n">
        <v>0.124</v>
      </c>
    </row>
    <row r="2701" spans="1:13">
      <c r="A2701" s="1">
        <f>HYPERLINK("http://www.twitter.com/NathanBLawrence/status/988845297353797632", "988845297353797632")</f>
        <v/>
      </c>
      <c r="B2701" s="2" t="n">
        <v>43214.76464120371</v>
      </c>
      <c r="C2701" t="n">
        <v>0</v>
      </c>
      <c r="D2701" t="n">
        <v>1</v>
      </c>
      <c r="E2701" t="s">
        <v>2707</v>
      </c>
      <c r="F2701">
        <f>HYPERLINK("http://pbs.twimg.com/media/Dbj2smQW4AAsZqj.jpg", "http://pbs.twimg.com/media/Dbj2smQW4AAsZqj.jpg")</f>
        <v/>
      </c>
      <c r="G2701" t="s"/>
      <c r="H2701" t="s"/>
      <c r="I2701" t="s"/>
      <c r="J2701" t="n">
        <v>0</v>
      </c>
      <c r="K2701" t="n">
        <v>0</v>
      </c>
      <c r="L2701" t="n">
        <v>1</v>
      </c>
      <c r="M2701" t="n">
        <v>0</v>
      </c>
    </row>
    <row r="2702" spans="1:13">
      <c r="A2702" s="1">
        <f>HYPERLINK("http://www.twitter.com/NathanBLawrence/status/988814578082598918", "988814578082598918")</f>
        <v/>
      </c>
      <c r="B2702" s="2" t="n">
        <v>43214.67987268518</v>
      </c>
      <c r="C2702" t="n">
        <v>0</v>
      </c>
      <c r="D2702" t="n">
        <v>4</v>
      </c>
      <c r="E2702" t="s">
        <v>2708</v>
      </c>
      <c r="F2702" t="s"/>
      <c r="G2702" t="s"/>
      <c r="H2702" t="s"/>
      <c r="I2702" t="s"/>
      <c r="J2702" t="n">
        <v>-0.5106000000000001</v>
      </c>
      <c r="K2702" t="n">
        <v>0.136</v>
      </c>
      <c r="L2702" t="n">
        <v>0.864</v>
      </c>
      <c r="M2702" t="n">
        <v>0</v>
      </c>
    </row>
    <row r="2703" spans="1:13">
      <c r="A2703" s="1">
        <f>HYPERLINK("http://www.twitter.com/NathanBLawrence/status/988814468439257088", "988814468439257088")</f>
        <v/>
      </c>
      <c r="B2703" s="2" t="n">
        <v>43214.67957175926</v>
      </c>
      <c r="C2703" t="n">
        <v>0</v>
      </c>
      <c r="D2703" t="n">
        <v>1976</v>
      </c>
      <c r="E2703" t="s">
        <v>2709</v>
      </c>
      <c r="F2703" t="s"/>
      <c r="G2703" t="s"/>
      <c r="H2703" t="s"/>
      <c r="I2703" t="s"/>
      <c r="J2703" t="n">
        <v>-0.6486</v>
      </c>
      <c r="K2703" t="n">
        <v>0.225</v>
      </c>
      <c r="L2703" t="n">
        <v>0.723</v>
      </c>
      <c r="M2703" t="n">
        <v>0.052</v>
      </c>
    </row>
    <row r="2704" spans="1:13">
      <c r="A2704" s="1">
        <f>HYPERLINK("http://www.twitter.com/NathanBLawrence/status/988814256157097989", "988814256157097989")</f>
        <v/>
      </c>
      <c r="B2704" s="2" t="n">
        <v>43214.67898148148</v>
      </c>
      <c r="C2704" t="n">
        <v>5</v>
      </c>
      <c r="D2704" t="n">
        <v>2</v>
      </c>
      <c r="E2704" t="s">
        <v>2710</v>
      </c>
      <c r="F2704" t="s"/>
      <c r="G2704" t="s"/>
      <c r="H2704" t="s"/>
      <c r="I2704" t="s"/>
      <c r="J2704" t="n">
        <v>-0.6289</v>
      </c>
      <c r="K2704" t="n">
        <v>0.461</v>
      </c>
      <c r="L2704" t="n">
        <v>0.539</v>
      </c>
      <c r="M2704" t="n">
        <v>0</v>
      </c>
    </row>
    <row r="2705" spans="1:13">
      <c r="A2705" s="1">
        <f>HYPERLINK("http://www.twitter.com/NathanBLawrence/status/988803486786535424", "988803486786535424")</f>
        <v/>
      </c>
      <c r="B2705" s="2" t="n">
        <v>43214.64925925926</v>
      </c>
      <c r="C2705" t="n">
        <v>0</v>
      </c>
      <c r="D2705" t="n">
        <v>9202</v>
      </c>
      <c r="E2705" t="s">
        <v>2711</v>
      </c>
      <c r="F2705" t="s"/>
      <c r="G2705" t="s"/>
      <c r="H2705" t="s"/>
      <c r="I2705" t="s"/>
      <c r="J2705" t="n">
        <v>0.8668</v>
      </c>
      <c r="K2705" t="n">
        <v>0</v>
      </c>
      <c r="L2705" t="n">
        <v>0.606</v>
      </c>
      <c r="M2705" t="n">
        <v>0.394</v>
      </c>
    </row>
    <row r="2706" spans="1:13">
      <c r="A2706" s="1">
        <f>HYPERLINK("http://www.twitter.com/NathanBLawrence/status/988802227304255488", "988802227304255488")</f>
        <v/>
      </c>
      <c r="B2706" s="2" t="n">
        <v>43214.64578703704</v>
      </c>
      <c r="C2706" t="n">
        <v>0</v>
      </c>
      <c r="D2706" t="n">
        <v>200</v>
      </c>
      <c r="E2706" t="s">
        <v>2712</v>
      </c>
      <c r="F2706" t="s"/>
      <c r="G2706" t="s"/>
      <c r="H2706" t="s"/>
      <c r="I2706" t="s"/>
      <c r="J2706" t="n">
        <v>-0.186</v>
      </c>
      <c r="K2706" t="n">
        <v>0.218</v>
      </c>
      <c r="L2706" t="n">
        <v>0.588</v>
      </c>
      <c r="M2706" t="n">
        <v>0.195</v>
      </c>
    </row>
    <row r="2707" spans="1:13">
      <c r="A2707" s="1">
        <f>HYPERLINK("http://www.twitter.com/NathanBLawrence/status/988802175475187713", "988802175475187713")</f>
        <v/>
      </c>
      <c r="B2707" s="2" t="n">
        <v>43214.64564814815</v>
      </c>
      <c r="C2707" t="n">
        <v>0</v>
      </c>
      <c r="D2707" t="n">
        <v>252</v>
      </c>
      <c r="E2707" t="s">
        <v>2713</v>
      </c>
      <c r="F2707" t="s"/>
      <c r="G2707" t="s"/>
      <c r="H2707" t="s"/>
      <c r="I2707" t="s"/>
      <c r="J2707" t="n">
        <v>-0.0258</v>
      </c>
      <c r="K2707" t="n">
        <v>0.2</v>
      </c>
      <c r="L2707" t="n">
        <v>0.603</v>
      </c>
      <c r="M2707" t="n">
        <v>0.197</v>
      </c>
    </row>
    <row r="2708" spans="1:13">
      <c r="A2708" s="1">
        <f>HYPERLINK("http://www.twitter.com/NathanBLawrence/status/988802123964936193", "988802123964936193")</f>
        <v/>
      </c>
      <c r="B2708" s="2" t="n">
        <v>43214.64550925926</v>
      </c>
      <c r="C2708" t="n">
        <v>0</v>
      </c>
      <c r="D2708" t="n">
        <v>247</v>
      </c>
      <c r="E2708" t="s">
        <v>2714</v>
      </c>
      <c r="F2708" t="s"/>
      <c r="G2708" t="s"/>
      <c r="H2708" t="s"/>
      <c r="I2708" t="s"/>
      <c r="J2708" t="n">
        <v>0.5106000000000001</v>
      </c>
      <c r="K2708" t="n">
        <v>0</v>
      </c>
      <c r="L2708" t="n">
        <v>0.879</v>
      </c>
      <c r="M2708" t="n">
        <v>0.121</v>
      </c>
    </row>
    <row r="2709" spans="1:13">
      <c r="A2709" s="1">
        <f>HYPERLINK("http://www.twitter.com/NathanBLawrence/status/988802059418746880", "988802059418746880")</f>
        <v/>
      </c>
      <c r="B2709" s="2" t="n">
        <v>43214.64532407407</v>
      </c>
      <c r="C2709" t="n">
        <v>0</v>
      </c>
      <c r="D2709" t="n">
        <v>451</v>
      </c>
      <c r="E2709" t="s">
        <v>2715</v>
      </c>
      <c r="F2709" t="s"/>
      <c r="G2709" t="s"/>
      <c r="H2709" t="s"/>
      <c r="I2709" t="s"/>
      <c r="J2709" t="n">
        <v>0.128</v>
      </c>
      <c r="K2709" t="n">
        <v>0.082</v>
      </c>
      <c r="L2709" t="n">
        <v>0.819</v>
      </c>
      <c r="M2709" t="n">
        <v>0.099</v>
      </c>
    </row>
    <row r="2710" spans="1:13">
      <c r="A2710" s="1">
        <f>HYPERLINK("http://www.twitter.com/NathanBLawrence/status/988802013172350977", "988802013172350977")</f>
        <v/>
      </c>
      <c r="B2710" s="2" t="n">
        <v>43214.64519675926</v>
      </c>
      <c r="C2710" t="n">
        <v>0</v>
      </c>
      <c r="D2710" t="n">
        <v>89</v>
      </c>
      <c r="E2710" t="s">
        <v>2716</v>
      </c>
      <c r="F2710" t="s"/>
      <c r="G2710" t="s"/>
      <c r="H2710" t="s"/>
      <c r="I2710" t="s"/>
      <c r="J2710" t="n">
        <v>0.25</v>
      </c>
      <c r="K2710" t="n">
        <v>0.12</v>
      </c>
      <c r="L2710" t="n">
        <v>0.707</v>
      </c>
      <c r="M2710" t="n">
        <v>0.174</v>
      </c>
    </row>
    <row r="2711" spans="1:13">
      <c r="A2711" s="1">
        <f>HYPERLINK("http://www.twitter.com/NathanBLawrence/status/988801955978883072", "988801955978883072")</f>
        <v/>
      </c>
      <c r="B2711" s="2" t="n">
        <v>43214.6450462963</v>
      </c>
      <c r="C2711" t="n">
        <v>0</v>
      </c>
      <c r="D2711" t="n">
        <v>66</v>
      </c>
      <c r="E2711" t="s">
        <v>2717</v>
      </c>
      <c r="F2711" t="s"/>
      <c r="G2711" t="s"/>
      <c r="H2711" t="s"/>
      <c r="I2711" t="s"/>
      <c r="J2711" t="n">
        <v>0.7906</v>
      </c>
      <c r="K2711" t="n">
        <v>0</v>
      </c>
      <c r="L2711" t="n">
        <v>0.741</v>
      </c>
      <c r="M2711" t="n">
        <v>0.259</v>
      </c>
    </row>
    <row r="2712" spans="1:13">
      <c r="A2712" s="1">
        <f>HYPERLINK("http://www.twitter.com/NathanBLawrence/status/988801418361421824", "988801418361421824")</f>
        <v/>
      </c>
      <c r="B2712" s="2" t="n">
        <v>43214.64355324074</v>
      </c>
      <c r="C2712" t="n">
        <v>4</v>
      </c>
      <c r="D2712" t="n">
        <v>2</v>
      </c>
      <c r="E2712" t="s">
        <v>2718</v>
      </c>
      <c r="F2712">
        <f>HYPERLINK("http://pbs.twimg.com/media/DbjtiDrU0AAWBOT.jpg", "http://pbs.twimg.com/media/DbjtiDrU0AAWBOT.jpg")</f>
        <v/>
      </c>
      <c r="G2712">
        <f>HYPERLINK("http://pbs.twimg.com/media/DbjtjkUU8AAtvkt.jpg", "http://pbs.twimg.com/media/DbjtjkUU8AAtvkt.jpg")</f>
        <v/>
      </c>
      <c r="H2712">
        <f>HYPERLINK("http://pbs.twimg.com/media/DbjtkUsU0AALPqB.jpg", "http://pbs.twimg.com/media/DbjtkUsU0AALPqB.jpg")</f>
        <v/>
      </c>
      <c r="I2712">
        <f>HYPERLINK("http://pbs.twimg.com/media/Dbjtk_XVwAAYJy5.jpg", "http://pbs.twimg.com/media/Dbjtk_XVwAAYJy5.jpg")</f>
        <v/>
      </c>
      <c r="J2712" t="n">
        <v>-0.0601</v>
      </c>
      <c r="K2712" t="n">
        <v>0.147</v>
      </c>
      <c r="L2712" t="n">
        <v>0.711</v>
      </c>
      <c r="M2712" t="n">
        <v>0.142</v>
      </c>
    </row>
    <row r="2713" spans="1:13">
      <c r="A2713" s="1">
        <f>HYPERLINK("http://www.twitter.com/NathanBLawrence/status/988799412167032832", "988799412167032832")</f>
        <v/>
      </c>
      <c r="B2713" s="2" t="n">
        <v>43214.63802083334</v>
      </c>
      <c r="C2713" t="n">
        <v>0</v>
      </c>
      <c r="D2713" t="n">
        <v>26</v>
      </c>
      <c r="E2713" t="s">
        <v>2719</v>
      </c>
      <c r="F2713" t="s"/>
      <c r="G2713" t="s"/>
      <c r="H2713" t="s"/>
      <c r="I2713" t="s"/>
      <c r="J2713" t="n">
        <v>0.4019</v>
      </c>
      <c r="K2713" t="n">
        <v>0</v>
      </c>
      <c r="L2713" t="n">
        <v>0.828</v>
      </c>
      <c r="M2713" t="n">
        <v>0.172</v>
      </c>
    </row>
    <row r="2714" spans="1:13">
      <c r="A2714" s="1">
        <f>HYPERLINK("http://www.twitter.com/NathanBLawrence/status/988799243845386240", "988799243845386240")</f>
        <v/>
      </c>
      <c r="B2714" s="2" t="n">
        <v>43214.63755787037</v>
      </c>
      <c r="C2714" t="n">
        <v>0</v>
      </c>
      <c r="D2714" t="n">
        <v>2121</v>
      </c>
      <c r="E2714" t="s">
        <v>387</v>
      </c>
      <c r="F2714">
        <f>HYPERLINK("https://video.twimg.com/ext_tw_video/920759824236736512/pu/vid/1280x720/9VlNCxTXId4W1Sl9.mp4", "https://video.twimg.com/ext_tw_video/920759824236736512/pu/vid/1280x720/9VlNCxTXId4W1Sl9.mp4")</f>
        <v/>
      </c>
      <c r="G2714" t="s"/>
      <c r="H2714" t="s"/>
      <c r="I2714" t="s"/>
      <c r="J2714" t="n">
        <v>-0.835</v>
      </c>
      <c r="K2714" t="n">
        <v>0.397</v>
      </c>
      <c r="L2714" t="n">
        <v>0.603</v>
      </c>
      <c r="M2714" t="n">
        <v>0</v>
      </c>
    </row>
    <row r="2715" spans="1:13">
      <c r="A2715" s="1">
        <f>HYPERLINK("http://www.twitter.com/NathanBLawrence/status/988799091063717888", "988799091063717888")</f>
        <v/>
      </c>
      <c r="B2715" s="2" t="n">
        <v>43214.63712962963</v>
      </c>
      <c r="C2715" t="n">
        <v>1</v>
      </c>
      <c r="D2715" t="n">
        <v>0</v>
      </c>
      <c r="E2715" t="s">
        <v>2720</v>
      </c>
      <c r="F2715" t="s"/>
      <c r="G2715" t="s"/>
      <c r="H2715" t="s"/>
      <c r="I2715" t="s"/>
      <c r="J2715" t="n">
        <v>0.128</v>
      </c>
      <c r="K2715" t="n">
        <v>0.08500000000000001</v>
      </c>
      <c r="L2715" t="n">
        <v>0.8090000000000001</v>
      </c>
      <c r="M2715" t="n">
        <v>0.106</v>
      </c>
    </row>
    <row r="2716" spans="1:13">
      <c r="A2716" s="1">
        <f>HYPERLINK("http://www.twitter.com/NathanBLawrence/status/988797302067249153", "988797302067249153")</f>
        <v/>
      </c>
      <c r="B2716" s="2" t="n">
        <v>43214.63219907408</v>
      </c>
      <c r="C2716" t="n">
        <v>0</v>
      </c>
      <c r="D2716" t="n">
        <v>597</v>
      </c>
      <c r="E2716" t="s">
        <v>2721</v>
      </c>
      <c r="F2716" t="s"/>
      <c r="G2716" t="s"/>
      <c r="H2716" t="s"/>
      <c r="I2716" t="s"/>
      <c r="J2716" t="n">
        <v>0.6249</v>
      </c>
      <c r="K2716" t="n">
        <v>0</v>
      </c>
      <c r="L2716" t="n">
        <v>0.594</v>
      </c>
      <c r="M2716" t="n">
        <v>0.406</v>
      </c>
    </row>
    <row r="2717" spans="1:13">
      <c r="A2717" s="1">
        <f>HYPERLINK("http://www.twitter.com/NathanBLawrence/status/988797021950697473", "988797021950697473")</f>
        <v/>
      </c>
      <c r="B2717" s="2" t="n">
        <v>43214.63142361111</v>
      </c>
      <c r="C2717" t="n">
        <v>1</v>
      </c>
      <c r="D2717" t="n">
        <v>0</v>
      </c>
      <c r="E2717" t="s">
        <v>2722</v>
      </c>
      <c r="F2717" t="s"/>
      <c r="G2717" t="s"/>
      <c r="H2717" t="s"/>
      <c r="I2717" t="s"/>
      <c r="J2717" t="n">
        <v>-0.7125</v>
      </c>
      <c r="K2717" t="n">
        <v>0.141</v>
      </c>
      <c r="L2717" t="n">
        <v>0.859</v>
      </c>
      <c r="M2717" t="n">
        <v>0</v>
      </c>
    </row>
    <row r="2718" spans="1:13">
      <c r="A2718" s="1">
        <f>HYPERLINK("http://www.twitter.com/NathanBLawrence/status/988794258067865600", "988794258067865600")</f>
        <v/>
      </c>
      <c r="B2718" s="2" t="n">
        <v>43214.6237962963</v>
      </c>
      <c r="C2718" t="n">
        <v>1</v>
      </c>
      <c r="D2718" t="n">
        <v>0</v>
      </c>
      <c r="E2718" t="s">
        <v>2723</v>
      </c>
      <c r="F2718" t="s"/>
      <c r="G2718" t="s"/>
      <c r="H2718" t="s"/>
      <c r="I2718" t="s"/>
      <c r="J2718" t="n">
        <v>-0.7531</v>
      </c>
      <c r="K2718" t="n">
        <v>0.25</v>
      </c>
      <c r="L2718" t="n">
        <v>0.673</v>
      </c>
      <c r="M2718" t="n">
        <v>0.077</v>
      </c>
    </row>
    <row r="2719" spans="1:13">
      <c r="A2719" s="1">
        <f>HYPERLINK("http://www.twitter.com/NathanBLawrence/status/988789720548167680", "988789720548167680")</f>
        <v/>
      </c>
      <c r="B2719" s="2" t="n">
        <v>43214.61127314815</v>
      </c>
      <c r="C2719" t="n">
        <v>2</v>
      </c>
      <c r="D2719" t="n">
        <v>0</v>
      </c>
      <c r="E2719" t="s">
        <v>2724</v>
      </c>
      <c r="F2719" t="s"/>
      <c r="G2719" t="s"/>
      <c r="H2719" t="s"/>
      <c r="I2719" t="s"/>
      <c r="J2719" t="n">
        <v>-0.4466</v>
      </c>
      <c r="K2719" t="n">
        <v>0.08400000000000001</v>
      </c>
      <c r="L2719" t="n">
        <v>0.882</v>
      </c>
      <c r="M2719" t="n">
        <v>0.034</v>
      </c>
    </row>
    <row r="2720" spans="1:13">
      <c r="A2720" s="1">
        <f>HYPERLINK("http://www.twitter.com/NathanBLawrence/status/988789375994478593", "988789375994478593")</f>
        <v/>
      </c>
      <c r="B2720" s="2" t="n">
        <v>43214.61032407408</v>
      </c>
      <c r="C2720" t="n">
        <v>2</v>
      </c>
      <c r="D2720" t="n">
        <v>0</v>
      </c>
      <c r="E2720" t="s">
        <v>2725</v>
      </c>
      <c r="F2720" t="s"/>
      <c r="G2720" t="s"/>
      <c r="H2720" t="s"/>
      <c r="I2720" t="s"/>
      <c r="J2720" t="n">
        <v>0.4893</v>
      </c>
      <c r="K2720" t="n">
        <v>0.07000000000000001</v>
      </c>
      <c r="L2720" t="n">
        <v>0.785</v>
      </c>
      <c r="M2720" t="n">
        <v>0.145</v>
      </c>
    </row>
    <row r="2721" spans="1:13">
      <c r="A2721" s="1">
        <f>HYPERLINK("http://www.twitter.com/NathanBLawrence/status/988788813731319808", "988788813731319808")</f>
        <v/>
      </c>
      <c r="B2721" s="2" t="n">
        <v>43214.60877314815</v>
      </c>
      <c r="C2721" t="n">
        <v>0</v>
      </c>
      <c r="D2721" t="n">
        <v>0</v>
      </c>
      <c r="E2721" t="s">
        <v>2726</v>
      </c>
      <c r="F2721" t="s"/>
      <c r="G2721" t="s"/>
      <c r="H2721" t="s"/>
      <c r="I2721" t="s"/>
      <c r="J2721" t="n">
        <v>-0.8056</v>
      </c>
      <c r="K2721" t="n">
        <v>0.232</v>
      </c>
      <c r="L2721" t="n">
        <v>0.768</v>
      </c>
      <c r="M2721" t="n">
        <v>0</v>
      </c>
    </row>
    <row r="2722" spans="1:13">
      <c r="A2722" s="1">
        <f>HYPERLINK("http://www.twitter.com/NathanBLawrence/status/988787639930179584", "988787639930179584")</f>
        <v/>
      </c>
      <c r="B2722" s="2" t="n">
        <v>43214.6055324074</v>
      </c>
      <c r="C2722" t="n">
        <v>1</v>
      </c>
      <c r="D2722" t="n">
        <v>0</v>
      </c>
      <c r="E2722" t="s">
        <v>2727</v>
      </c>
      <c r="F2722" t="s"/>
      <c r="G2722" t="s"/>
      <c r="H2722" t="s"/>
      <c r="I2722" t="s"/>
      <c r="J2722" t="n">
        <v>-0.4404</v>
      </c>
      <c r="K2722" t="n">
        <v>0.18</v>
      </c>
      <c r="L2722" t="n">
        <v>0.725</v>
      </c>
      <c r="M2722" t="n">
        <v>0.096</v>
      </c>
    </row>
    <row r="2723" spans="1:13">
      <c r="A2723" s="1">
        <f>HYPERLINK("http://www.twitter.com/NathanBLawrence/status/988779886788730882", "988779886788730882")</f>
        <v/>
      </c>
      <c r="B2723" s="2" t="n">
        <v>43214.58414351852</v>
      </c>
      <c r="C2723" t="n">
        <v>0</v>
      </c>
      <c r="D2723" t="n">
        <v>379</v>
      </c>
      <c r="E2723" t="s">
        <v>2728</v>
      </c>
      <c r="F2723">
        <f>HYPERLINK("http://pbs.twimg.com/media/Dba7wFFXUAAeYH1.jpg", "http://pbs.twimg.com/media/Dba7wFFXUAAeYH1.jpg")</f>
        <v/>
      </c>
      <c r="G2723" t="s"/>
      <c r="H2723" t="s"/>
      <c r="I2723" t="s"/>
      <c r="J2723" t="n">
        <v>-0.4019</v>
      </c>
      <c r="K2723" t="n">
        <v>0.114</v>
      </c>
      <c r="L2723" t="n">
        <v>0.886</v>
      </c>
      <c r="M2723" t="n">
        <v>0</v>
      </c>
    </row>
    <row r="2724" spans="1:13">
      <c r="A2724" s="1">
        <f>HYPERLINK("http://www.twitter.com/NathanBLawrence/status/988648367021408257", "988648367021408257")</f>
        <v/>
      </c>
      <c r="B2724" s="2" t="n">
        <v>43214.22121527778</v>
      </c>
      <c r="C2724" t="n">
        <v>0</v>
      </c>
      <c r="D2724" t="n">
        <v>32344</v>
      </c>
      <c r="E2724" t="s">
        <v>2729</v>
      </c>
      <c r="F2724" t="s"/>
      <c r="G2724" t="s"/>
      <c r="H2724" t="s"/>
      <c r="I2724" t="s"/>
      <c r="J2724" t="n">
        <v>0.34</v>
      </c>
      <c r="K2724" t="n">
        <v>0.106</v>
      </c>
      <c r="L2724" t="n">
        <v>0.704</v>
      </c>
      <c r="M2724" t="n">
        <v>0.19</v>
      </c>
    </row>
    <row r="2725" spans="1:13">
      <c r="A2725" s="1">
        <f>HYPERLINK("http://www.twitter.com/NathanBLawrence/status/988648192425115649", "988648192425115649")</f>
        <v/>
      </c>
      <c r="B2725" s="2" t="n">
        <v>43214.22072916666</v>
      </c>
      <c r="C2725" t="n">
        <v>0</v>
      </c>
      <c r="D2725" t="n">
        <v>5</v>
      </c>
      <c r="E2725" t="s">
        <v>2730</v>
      </c>
      <c r="F2725" t="s"/>
      <c r="G2725" t="s"/>
      <c r="H2725" t="s"/>
      <c r="I2725" t="s"/>
      <c r="J2725" t="n">
        <v>0</v>
      </c>
      <c r="K2725" t="n">
        <v>0</v>
      </c>
      <c r="L2725" t="n">
        <v>1</v>
      </c>
      <c r="M2725" t="n">
        <v>0</v>
      </c>
    </row>
    <row r="2726" spans="1:13">
      <c r="A2726" s="1">
        <f>HYPERLINK("http://www.twitter.com/NathanBLawrence/status/988648109386297345", "988648109386297345")</f>
        <v/>
      </c>
      <c r="B2726" s="2" t="n">
        <v>43214.22050925926</v>
      </c>
      <c r="C2726" t="n">
        <v>0</v>
      </c>
      <c r="D2726" t="n">
        <v>1</v>
      </c>
      <c r="E2726" t="s">
        <v>2731</v>
      </c>
      <c r="F2726" t="s"/>
      <c r="G2726" t="s"/>
      <c r="H2726" t="s"/>
      <c r="I2726" t="s"/>
      <c r="J2726" t="n">
        <v>0.6239</v>
      </c>
      <c r="K2726" t="n">
        <v>0</v>
      </c>
      <c r="L2726" t="n">
        <v>0.71</v>
      </c>
      <c r="M2726" t="n">
        <v>0.29</v>
      </c>
    </row>
    <row r="2727" spans="1:13">
      <c r="A2727" s="1">
        <f>HYPERLINK("http://www.twitter.com/NathanBLawrence/status/988647939730886656", "988647939730886656")</f>
        <v/>
      </c>
      <c r="B2727" s="2" t="n">
        <v>43214.22003472222</v>
      </c>
      <c r="C2727" t="n">
        <v>0</v>
      </c>
      <c r="D2727" t="n">
        <v>59</v>
      </c>
      <c r="E2727" t="s">
        <v>2732</v>
      </c>
      <c r="F2727" t="s"/>
      <c r="G2727" t="s"/>
      <c r="H2727" t="s"/>
      <c r="I2727" t="s"/>
      <c r="J2727" t="n">
        <v>-0.1027</v>
      </c>
      <c r="K2727" t="n">
        <v>0.142</v>
      </c>
      <c r="L2727" t="n">
        <v>0.737</v>
      </c>
      <c r="M2727" t="n">
        <v>0.121</v>
      </c>
    </row>
    <row r="2728" spans="1:13">
      <c r="A2728" s="1">
        <f>HYPERLINK("http://www.twitter.com/NathanBLawrence/status/988647784969469952", "988647784969469952")</f>
        <v/>
      </c>
      <c r="B2728" s="2" t="n">
        <v>43214.21960648148</v>
      </c>
      <c r="C2728" t="n">
        <v>0</v>
      </c>
      <c r="D2728" t="n">
        <v>1663</v>
      </c>
      <c r="E2728" t="s">
        <v>2733</v>
      </c>
      <c r="F2728">
        <f>HYPERLINK("http://pbs.twimg.com/media/DbbhFBaU0AAfc9U.jpg", "http://pbs.twimg.com/media/DbbhFBaU0AAfc9U.jpg")</f>
        <v/>
      </c>
      <c r="G2728" t="s"/>
      <c r="H2728" t="s"/>
      <c r="I2728" t="s"/>
      <c r="J2728" t="n">
        <v>-0.602</v>
      </c>
      <c r="K2728" t="n">
        <v>0.269</v>
      </c>
      <c r="L2728" t="n">
        <v>0.636</v>
      </c>
      <c r="M2728" t="n">
        <v>0.095</v>
      </c>
    </row>
    <row r="2729" spans="1:13">
      <c r="A2729" s="1">
        <f>HYPERLINK("http://www.twitter.com/NathanBLawrence/status/988647324837494784", "988647324837494784")</f>
        <v/>
      </c>
      <c r="B2729" s="2" t="n">
        <v>43214.21834490741</v>
      </c>
      <c r="C2729" t="n">
        <v>0</v>
      </c>
      <c r="D2729" t="n">
        <v>0</v>
      </c>
      <c r="E2729" t="s">
        <v>2734</v>
      </c>
      <c r="F2729">
        <f>HYPERLINK("http://pbs.twimg.com/media/DbhhaJcVMAEQ7uW.jpg", "http://pbs.twimg.com/media/DbhhaJcVMAEQ7uW.jpg")</f>
        <v/>
      </c>
      <c r="G2729">
        <f>HYPERLINK("http://pbs.twimg.com/media/DbhhbAYV0AA63iS.jpg", "http://pbs.twimg.com/media/DbhhbAYV0AA63iS.jpg")</f>
        <v/>
      </c>
      <c r="H2729">
        <f>HYPERLINK("http://pbs.twimg.com/media/DbhhcPxVQAAGvJb.jpg", "http://pbs.twimg.com/media/DbhhcPxVQAAGvJb.jpg")</f>
        <v/>
      </c>
      <c r="I2729">
        <f>HYPERLINK("http://pbs.twimg.com/media/DbhhdsYVQAAl15X.jpg", "http://pbs.twimg.com/media/DbhhdsYVQAAl15X.jpg")</f>
        <v/>
      </c>
      <c r="J2729" t="n">
        <v>0.7227</v>
      </c>
      <c r="K2729" t="n">
        <v>0.054</v>
      </c>
      <c r="L2729" t="n">
        <v>0.75</v>
      </c>
      <c r="M2729" t="n">
        <v>0.196</v>
      </c>
    </row>
    <row r="2730" spans="1:13">
      <c r="A2730" s="1">
        <f>HYPERLINK("http://www.twitter.com/NathanBLawrence/status/988646374274052096", "988646374274052096")</f>
        <v/>
      </c>
      <c r="B2730" s="2" t="n">
        <v>43214.21571759259</v>
      </c>
      <c r="C2730" t="n">
        <v>0</v>
      </c>
      <c r="D2730" t="n">
        <v>35</v>
      </c>
      <c r="E2730" t="s">
        <v>2735</v>
      </c>
      <c r="F2730">
        <f>HYPERLINK("http://pbs.twimg.com/media/DbfTwIMV4AAMGgC.jpg", "http://pbs.twimg.com/media/DbfTwIMV4AAMGgC.jpg")</f>
        <v/>
      </c>
      <c r="G2730">
        <f>HYPERLINK("http://pbs.twimg.com/media/DbfTwIKV0AAGhFI.jpg", "http://pbs.twimg.com/media/DbfTwIKV0AAGhFI.jpg")</f>
        <v/>
      </c>
      <c r="H2730">
        <f>HYPERLINK("http://pbs.twimg.com/media/DbfTwILU8AAl-w_.jpg", "http://pbs.twimg.com/media/DbfTwILU8AAl-w_.jpg")</f>
        <v/>
      </c>
      <c r="I2730">
        <f>HYPERLINK("http://pbs.twimg.com/media/DbfTwIKV4AAA63q.jpg", "http://pbs.twimg.com/media/DbfTwIKV4AAA63q.jpg")</f>
        <v/>
      </c>
      <c r="J2730" t="n">
        <v>0.3182</v>
      </c>
      <c r="K2730" t="n">
        <v>0.096</v>
      </c>
      <c r="L2730" t="n">
        <v>0.753</v>
      </c>
      <c r="M2730" t="n">
        <v>0.151</v>
      </c>
    </row>
    <row r="2731" spans="1:13">
      <c r="A2731" s="1">
        <f>HYPERLINK("http://www.twitter.com/NathanBLawrence/status/988646259807305733", "988646259807305733")</f>
        <v/>
      </c>
      <c r="B2731" s="2" t="n">
        <v>43214.21540509259</v>
      </c>
      <c r="C2731" t="n">
        <v>0</v>
      </c>
      <c r="D2731" t="n">
        <v>3</v>
      </c>
      <c r="E2731" t="s">
        <v>2736</v>
      </c>
      <c r="F2731" t="s"/>
      <c r="G2731" t="s"/>
      <c r="H2731" t="s"/>
      <c r="I2731" t="s"/>
      <c r="J2731" t="n">
        <v>0</v>
      </c>
      <c r="K2731" t="n">
        <v>0</v>
      </c>
      <c r="L2731" t="n">
        <v>1</v>
      </c>
      <c r="M2731" t="n">
        <v>0</v>
      </c>
    </row>
    <row r="2732" spans="1:13">
      <c r="A2732" s="1">
        <f>HYPERLINK("http://www.twitter.com/NathanBLawrence/status/988646044463349760", "988646044463349760")</f>
        <v/>
      </c>
      <c r="B2732" s="2" t="n">
        <v>43214.21480324074</v>
      </c>
      <c r="C2732" t="n">
        <v>0</v>
      </c>
      <c r="D2732" t="n">
        <v>4</v>
      </c>
      <c r="E2732" t="s">
        <v>2737</v>
      </c>
      <c r="F2732">
        <f>HYPERLINK("http://pbs.twimg.com/media/DbhCvl9WAAAd93E.jpg", "http://pbs.twimg.com/media/DbhCvl9WAAAd93E.jpg")</f>
        <v/>
      </c>
      <c r="G2732" t="s"/>
      <c r="H2732" t="s"/>
      <c r="I2732" t="s"/>
      <c r="J2732" t="n">
        <v>0</v>
      </c>
      <c r="K2732" t="n">
        <v>0</v>
      </c>
      <c r="L2732" t="n">
        <v>1</v>
      </c>
      <c r="M2732" t="n">
        <v>0</v>
      </c>
    </row>
    <row r="2733" spans="1:13">
      <c r="A2733" s="1">
        <f>HYPERLINK("http://www.twitter.com/NathanBLawrence/status/988646010963423232", "988646010963423232")</f>
        <v/>
      </c>
      <c r="B2733" s="2" t="n">
        <v>43214.21471064815</v>
      </c>
      <c r="C2733" t="n">
        <v>0</v>
      </c>
      <c r="D2733" t="n">
        <v>14</v>
      </c>
      <c r="E2733" t="s">
        <v>2738</v>
      </c>
      <c r="F2733" t="s"/>
      <c r="G2733" t="s"/>
      <c r="H2733" t="s"/>
      <c r="I2733" t="s"/>
      <c r="J2733" t="n">
        <v>0</v>
      </c>
      <c r="K2733" t="n">
        <v>0</v>
      </c>
      <c r="L2733" t="n">
        <v>1</v>
      </c>
      <c r="M2733" t="n">
        <v>0</v>
      </c>
    </row>
    <row r="2734" spans="1:13">
      <c r="A2734" s="1">
        <f>HYPERLINK("http://www.twitter.com/NathanBLawrence/status/988645955586088961", "988645955586088961")</f>
        <v/>
      </c>
      <c r="B2734" s="2" t="n">
        <v>43214.21456018519</v>
      </c>
      <c r="C2734" t="n">
        <v>0</v>
      </c>
      <c r="D2734" t="n">
        <v>4</v>
      </c>
      <c r="E2734" t="s">
        <v>2739</v>
      </c>
      <c r="F2734" t="s"/>
      <c r="G2734" t="s"/>
      <c r="H2734" t="s"/>
      <c r="I2734" t="s"/>
      <c r="J2734" t="n">
        <v>0</v>
      </c>
      <c r="K2734" t="n">
        <v>0</v>
      </c>
      <c r="L2734" t="n">
        <v>1</v>
      </c>
      <c r="M2734" t="n">
        <v>0</v>
      </c>
    </row>
    <row r="2735" spans="1:13">
      <c r="A2735" s="1">
        <f>HYPERLINK("http://www.twitter.com/NathanBLawrence/status/988645838095237120", "988645838095237120")</f>
        <v/>
      </c>
      <c r="B2735" s="2" t="n">
        <v>43214.21423611111</v>
      </c>
      <c r="C2735" t="n">
        <v>0</v>
      </c>
      <c r="D2735" t="n">
        <v>3</v>
      </c>
      <c r="E2735" t="s">
        <v>2740</v>
      </c>
      <c r="F2735" t="s"/>
      <c r="G2735" t="s"/>
      <c r="H2735" t="s"/>
      <c r="I2735" t="s"/>
      <c r="J2735" t="n">
        <v>-0.1027</v>
      </c>
      <c r="K2735" t="n">
        <v>0.111</v>
      </c>
      <c r="L2735" t="n">
        <v>0.794</v>
      </c>
      <c r="M2735" t="n">
        <v>0.095</v>
      </c>
    </row>
    <row r="2736" spans="1:13">
      <c r="A2736" s="1">
        <f>HYPERLINK("http://www.twitter.com/NathanBLawrence/status/988645603537178624", "988645603537178624")</f>
        <v/>
      </c>
      <c r="B2736" s="2" t="n">
        <v>43214.21358796296</v>
      </c>
      <c r="C2736" t="n">
        <v>0</v>
      </c>
      <c r="D2736" t="n">
        <v>7</v>
      </c>
      <c r="E2736" t="s">
        <v>2741</v>
      </c>
      <c r="F2736" t="s"/>
      <c r="G2736" t="s"/>
      <c r="H2736" t="s"/>
      <c r="I2736" t="s"/>
      <c r="J2736" t="n">
        <v>0</v>
      </c>
      <c r="K2736" t="n">
        <v>0</v>
      </c>
      <c r="L2736" t="n">
        <v>1</v>
      </c>
      <c r="M2736" t="n">
        <v>0</v>
      </c>
    </row>
    <row r="2737" spans="1:13">
      <c r="A2737" s="1">
        <f>HYPERLINK("http://www.twitter.com/NathanBLawrence/status/988645242910818305", "988645242910818305")</f>
        <v/>
      </c>
      <c r="B2737" s="2" t="n">
        <v>43214.21259259259</v>
      </c>
      <c r="C2737" t="n">
        <v>5</v>
      </c>
      <c r="D2737" t="n">
        <v>3</v>
      </c>
      <c r="E2737" t="s">
        <v>2742</v>
      </c>
      <c r="F2737" t="s"/>
      <c r="G2737" t="s"/>
      <c r="H2737" t="s"/>
      <c r="I2737" t="s"/>
      <c r="J2737" t="n">
        <v>0</v>
      </c>
      <c r="K2737" t="n">
        <v>0</v>
      </c>
      <c r="L2737" t="n">
        <v>1</v>
      </c>
      <c r="M2737" t="n">
        <v>0</v>
      </c>
    </row>
    <row r="2738" spans="1:13">
      <c r="A2738" s="1">
        <f>HYPERLINK("http://www.twitter.com/NathanBLawrence/status/988644739774791680", "988644739774791680")</f>
        <v/>
      </c>
      <c r="B2738" s="2" t="n">
        <v>43214.2112037037</v>
      </c>
      <c r="C2738" t="n">
        <v>0</v>
      </c>
      <c r="D2738" t="n">
        <v>0</v>
      </c>
      <c r="E2738" t="s">
        <v>2743</v>
      </c>
      <c r="F2738" t="s"/>
      <c r="G2738" t="s"/>
      <c r="H2738" t="s"/>
      <c r="I2738" t="s"/>
      <c r="J2738" t="n">
        <v>-0.3612</v>
      </c>
      <c r="K2738" t="n">
        <v>0.161</v>
      </c>
      <c r="L2738" t="n">
        <v>0.839</v>
      </c>
      <c r="M2738" t="n">
        <v>0</v>
      </c>
    </row>
    <row r="2739" spans="1:13">
      <c r="A2739" s="1">
        <f>HYPERLINK("http://www.twitter.com/NathanBLawrence/status/988644541895819270", "988644541895819270")</f>
        <v/>
      </c>
      <c r="B2739" s="2" t="n">
        <v>43214.21065972222</v>
      </c>
      <c r="C2739" t="n">
        <v>0</v>
      </c>
      <c r="D2739" t="n">
        <v>6</v>
      </c>
      <c r="E2739" t="s">
        <v>2744</v>
      </c>
      <c r="F2739" t="s"/>
      <c r="G2739" t="s"/>
      <c r="H2739" t="s"/>
      <c r="I2739" t="s"/>
      <c r="J2739" t="n">
        <v>-0.5266999999999999</v>
      </c>
      <c r="K2739" t="n">
        <v>0.188</v>
      </c>
      <c r="L2739" t="n">
        <v>0.8120000000000001</v>
      </c>
      <c r="M2739" t="n">
        <v>0</v>
      </c>
    </row>
    <row r="2740" spans="1:13">
      <c r="A2740" s="1">
        <f>HYPERLINK("http://www.twitter.com/NathanBLawrence/status/988644491270672384", "988644491270672384")</f>
        <v/>
      </c>
      <c r="B2740" s="2" t="n">
        <v>43214.21052083333</v>
      </c>
      <c r="C2740" t="n">
        <v>11</v>
      </c>
      <c r="D2740" t="n">
        <v>6</v>
      </c>
      <c r="E2740" t="s">
        <v>2745</v>
      </c>
      <c r="F2740" t="s"/>
      <c r="G2740" t="s"/>
      <c r="H2740" t="s"/>
      <c r="I2740" t="s"/>
      <c r="J2740" t="n">
        <v>-0.5266999999999999</v>
      </c>
      <c r="K2740" t="n">
        <v>0.188</v>
      </c>
      <c r="L2740" t="n">
        <v>0.8120000000000001</v>
      </c>
      <c r="M2740" t="n">
        <v>0</v>
      </c>
    </row>
    <row r="2741" spans="1:13">
      <c r="A2741" s="1">
        <f>HYPERLINK("http://www.twitter.com/NathanBLawrence/status/988643024631619584", "988643024631619584")</f>
        <v/>
      </c>
      <c r="B2741" s="2" t="n">
        <v>43214.20646990741</v>
      </c>
      <c r="C2741" t="n">
        <v>0</v>
      </c>
      <c r="D2741" t="n">
        <v>5</v>
      </c>
      <c r="E2741" t="s">
        <v>2746</v>
      </c>
      <c r="F2741" t="s"/>
      <c r="G2741" t="s"/>
      <c r="H2741" t="s"/>
      <c r="I2741" t="s"/>
      <c r="J2741" t="n">
        <v>0.4184</v>
      </c>
      <c r="K2741" t="n">
        <v>0</v>
      </c>
      <c r="L2741" t="n">
        <v>0.872</v>
      </c>
      <c r="M2741" t="n">
        <v>0.128</v>
      </c>
    </row>
    <row r="2742" spans="1:13">
      <c r="A2742" s="1">
        <f>HYPERLINK("http://www.twitter.com/NathanBLawrence/status/988642863331225600", "988642863331225600")</f>
        <v/>
      </c>
      <c r="B2742" s="2" t="n">
        <v>43214.2060300926</v>
      </c>
      <c r="C2742" t="n">
        <v>0</v>
      </c>
      <c r="D2742" t="n">
        <v>3</v>
      </c>
      <c r="E2742" t="s">
        <v>2747</v>
      </c>
      <c r="F2742" t="s"/>
      <c r="G2742" t="s"/>
      <c r="H2742" t="s"/>
      <c r="I2742" t="s"/>
      <c r="J2742" t="n">
        <v>0</v>
      </c>
      <c r="K2742" t="n">
        <v>0</v>
      </c>
      <c r="L2742" t="n">
        <v>1</v>
      </c>
      <c r="M2742" t="n">
        <v>0</v>
      </c>
    </row>
    <row r="2743" spans="1:13">
      <c r="A2743" s="1">
        <f>HYPERLINK("http://www.twitter.com/NathanBLawrence/status/988642620824944641", "988642620824944641")</f>
        <v/>
      </c>
      <c r="B2743" s="2" t="n">
        <v>43214.20535879629</v>
      </c>
      <c r="C2743" t="n">
        <v>0</v>
      </c>
      <c r="D2743" t="n">
        <v>6</v>
      </c>
      <c r="E2743" t="s">
        <v>2748</v>
      </c>
      <c r="F2743" t="s"/>
      <c r="G2743" t="s"/>
      <c r="H2743" t="s"/>
      <c r="I2743" t="s"/>
      <c r="J2743" t="n">
        <v>0</v>
      </c>
      <c r="K2743" t="n">
        <v>0</v>
      </c>
      <c r="L2743" t="n">
        <v>1</v>
      </c>
      <c r="M2743" t="n">
        <v>0</v>
      </c>
    </row>
    <row r="2744" spans="1:13">
      <c r="A2744" s="1">
        <f>HYPERLINK("http://www.twitter.com/NathanBLawrence/status/988642207455371264", "988642207455371264")</f>
        <v/>
      </c>
      <c r="B2744" s="2" t="n">
        <v>43214.20421296296</v>
      </c>
      <c r="C2744" t="n">
        <v>0</v>
      </c>
      <c r="D2744" t="n">
        <v>2</v>
      </c>
      <c r="E2744" t="s">
        <v>2749</v>
      </c>
      <c r="F2744" t="s"/>
      <c r="G2744" t="s"/>
      <c r="H2744" t="s"/>
      <c r="I2744" t="s"/>
      <c r="J2744" t="n">
        <v>0.1872</v>
      </c>
      <c r="K2744" t="n">
        <v>0.083</v>
      </c>
      <c r="L2744" t="n">
        <v>0.803</v>
      </c>
      <c r="M2744" t="n">
        <v>0.114</v>
      </c>
    </row>
    <row r="2745" spans="1:13">
      <c r="A2745" s="1">
        <f>HYPERLINK("http://www.twitter.com/NathanBLawrence/status/988642134965145600", "988642134965145600")</f>
        <v/>
      </c>
      <c r="B2745" s="2" t="n">
        <v>43214.2040162037</v>
      </c>
      <c r="C2745" t="n">
        <v>0</v>
      </c>
      <c r="D2745" t="n">
        <v>5</v>
      </c>
      <c r="E2745" t="s">
        <v>2750</v>
      </c>
      <c r="F2745">
        <f>HYPERLINK("http://pbs.twimg.com/media/DbfoB5IXUAIOb-t.jpg", "http://pbs.twimg.com/media/DbfoB5IXUAIOb-t.jpg")</f>
        <v/>
      </c>
      <c r="G2745" t="s"/>
      <c r="H2745" t="s"/>
      <c r="I2745" t="s"/>
      <c r="J2745" t="n">
        <v>0</v>
      </c>
      <c r="K2745" t="n">
        <v>0</v>
      </c>
      <c r="L2745" t="n">
        <v>1</v>
      </c>
      <c r="M2745" t="n">
        <v>0</v>
      </c>
    </row>
    <row r="2746" spans="1:13">
      <c r="A2746" s="1">
        <f>HYPERLINK("http://www.twitter.com/NathanBLawrence/status/988642061183143936", "988642061183143936")</f>
        <v/>
      </c>
      <c r="B2746" s="2" t="n">
        <v>43214.20381944445</v>
      </c>
      <c r="C2746" t="n">
        <v>1</v>
      </c>
      <c r="D2746" t="n">
        <v>0</v>
      </c>
      <c r="E2746" t="s">
        <v>2751</v>
      </c>
      <c r="F2746" t="s"/>
      <c r="G2746" t="s"/>
      <c r="H2746" t="s"/>
      <c r="I2746" t="s"/>
      <c r="J2746" t="n">
        <v>-0.5591</v>
      </c>
      <c r="K2746" t="n">
        <v>0.215</v>
      </c>
      <c r="L2746" t="n">
        <v>0.659</v>
      </c>
      <c r="M2746" t="n">
        <v>0.127</v>
      </c>
    </row>
    <row r="2747" spans="1:13">
      <c r="A2747" s="1">
        <f>HYPERLINK("http://www.twitter.com/NathanBLawrence/status/988641546311385088", "988641546311385088")</f>
        <v/>
      </c>
      <c r="B2747" s="2" t="n">
        <v>43214.20239583333</v>
      </c>
      <c r="C2747" t="n">
        <v>0</v>
      </c>
      <c r="D2747" t="n">
        <v>5</v>
      </c>
      <c r="E2747" t="s">
        <v>2752</v>
      </c>
      <c r="F2747" t="s"/>
      <c r="G2747" t="s"/>
      <c r="H2747" t="s"/>
      <c r="I2747" t="s"/>
      <c r="J2747" t="n">
        <v>0</v>
      </c>
      <c r="K2747" t="n">
        <v>0</v>
      </c>
      <c r="L2747" t="n">
        <v>1</v>
      </c>
      <c r="M2747" t="n">
        <v>0</v>
      </c>
    </row>
    <row r="2748" spans="1:13">
      <c r="A2748" s="1">
        <f>HYPERLINK("http://www.twitter.com/NathanBLawrence/status/988641480490205184", "988641480490205184")</f>
        <v/>
      </c>
      <c r="B2748" s="2" t="n">
        <v>43214.20221064815</v>
      </c>
      <c r="C2748" t="n">
        <v>6</v>
      </c>
      <c r="D2748" t="n">
        <v>2</v>
      </c>
      <c r="E2748" t="s">
        <v>2753</v>
      </c>
      <c r="F2748" t="s"/>
      <c r="G2748" t="s"/>
      <c r="H2748" t="s"/>
      <c r="I2748" t="s"/>
      <c r="J2748" t="n">
        <v>0</v>
      </c>
      <c r="K2748" t="n">
        <v>0</v>
      </c>
      <c r="L2748" t="n">
        <v>1</v>
      </c>
      <c r="M2748" t="n">
        <v>0</v>
      </c>
    </row>
    <row r="2749" spans="1:13">
      <c r="A2749" s="1">
        <f>HYPERLINK("http://www.twitter.com/NathanBLawrence/status/988641137303764992", "988641137303764992")</f>
        <v/>
      </c>
      <c r="B2749" s="2" t="n">
        <v>43214.20126157408</v>
      </c>
      <c r="C2749" t="n">
        <v>0</v>
      </c>
      <c r="D2749" t="n">
        <v>5</v>
      </c>
      <c r="E2749" t="s">
        <v>2754</v>
      </c>
      <c r="F2749">
        <f>HYPERLINK("http://pbs.twimg.com/media/DbhYV3OU0AIdigS.jpg", "http://pbs.twimg.com/media/DbhYV3OU0AIdigS.jpg")</f>
        <v/>
      </c>
      <c r="G2749">
        <f>HYPERLINK("http://pbs.twimg.com/media/DbhYYOCV4AExp0e.jpg", "http://pbs.twimg.com/media/DbhYYOCV4AExp0e.jpg")</f>
        <v/>
      </c>
      <c r="H2749">
        <f>HYPERLINK("http://pbs.twimg.com/media/DbhYZzYVAAEkhtK.jpg", "http://pbs.twimg.com/media/DbhYZzYVAAEkhtK.jpg")</f>
        <v/>
      </c>
      <c r="I2749">
        <f>HYPERLINK("http://pbs.twimg.com/media/DbhYt-FUwAAcryb.jpg", "http://pbs.twimg.com/media/DbhYt-FUwAAcryb.jpg")</f>
        <v/>
      </c>
      <c r="J2749" t="n">
        <v>0</v>
      </c>
      <c r="K2749" t="n">
        <v>0</v>
      </c>
      <c r="L2749" t="n">
        <v>1</v>
      </c>
      <c r="M2749" t="n">
        <v>0</v>
      </c>
    </row>
    <row r="2750" spans="1:13">
      <c r="A2750" s="1">
        <f>HYPERLINK("http://www.twitter.com/NathanBLawrence/status/988641051077361664", "988641051077361664")</f>
        <v/>
      </c>
      <c r="B2750" s="2" t="n">
        <v>43214.20103009259</v>
      </c>
      <c r="C2750" t="n">
        <v>0</v>
      </c>
      <c r="D2750" t="n">
        <v>1</v>
      </c>
      <c r="E2750" t="s">
        <v>2754</v>
      </c>
      <c r="F2750" t="s"/>
      <c r="G2750" t="s"/>
      <c r="H2750" t="s"/>
      <c r="I2750" t="s"/>
      <c r="J2750" t="n">
        <v>0</v>
      </c>
      <c r="K2750" t="n">
        <v>0</v>
      </c>
      <c r="L2750" t="n">
        <v>1</v>
      </c>
      <c r="M2750" t="n">
        <v>0</v>
      </c>
    </row>
    <row r="2751" spans="1:13">
      <c r="A2751" s="1">
        <f>HYPERLINK("http://www.twitter.com/NathanBLawrence/status/988641001299300352", "988641001299300352")</f>
        <v/>
      </c>
      <c r="B2751" s="2" t="n">
        <v>43214.20089120371</v>
      </c>
      <c r="C2751" t="n">
        <v>0</v>
      </c>
      <c r="D2751" t="n">
        <v>1</v>
      </c>
      <c r="E2751" t="s">
        <v>2754</v>
      </c>
      <c r="F2751" t="s"/>
      <c r="G2751" t="s"/>
      <c r="H2751" t="s"/>
      <c r="I2751" t="s"/>
      <c r="J2751" t="n">
        <v>0</v>
      </c>
      <c r="K2751" t="n">
        <v>0</v>
      </c>
      <c r="L2751" t="n">
        <v>1</v>
      </c>
      <c r="M2751" t="n">
        <v>0</v>
      </c>
    </row>
    <row r="2752" spans="1:13">
      <c r="A2752" s="1">
        <f>HYPERLINK("http://www.twitter.com/NathanBLawrence/status/988640972455133184", "988640972455133184")</f>
        <v/>
      </c>
      <c r="B2752" s="2" t="n">
        <v>43214.20081018518</v>
      </c>
      <c r="C2752" t="n">
        <v>0</v>
      </c>
      <c r="D2752" t="n">
        <v>2</v>
      </c>
      <c r="E2752" t="s">
        <v>2754</v>
      </c>
      <c r="F2752" t="s"/>
      <c r="G2752" t="s"/>
      <c r="H2752" t="s"/>
      <c r="I2752" t="s"/>
      <c r="J2752" t="n">
        <v>0</v>
      </c>
      <c r="K2752" t="n">
        <v>0</v>
      </c>
      <c r="L2752" t="n">
        <v>1</v>
      </c>
      <c r="M2752" t="n">
        <v>0</v>
      </c>
    </row>
    <row r="2753" spans="1:13">
      <c r="A2753" s="1">
        <f>HYPERLINK("http://www.twitter.com/NathanBLawrence/status/988640951567503360", "988640951567503360")</f>
        <v/>
      </c>
      <c r="B2753" s="2" t="n">
        <v>43214.20075231481</v>
      </c>
      <c r="C2753" t="n">
        <v>0</v>
      </c>
      <c r="D2753" t="n">
        <v>1</v>
      </c>
      <c r="E2753" t="s">
        <v>2754</v>
      </c>
      <c r="F2753" t="s"/>
      <c r="G2753" t="s"/>
      <c r="H2753" t="s"/>
      <c r="I2753" t="s"/>
      <c r="J2753" t="n">
        <v>0</v>
      </c>
      <c r="K2753" t="n">
        <v>0</v>
      </c>
      <c r="L2753" t="n">
        <v>1</v>
      </c>
      <c r="M2753" t="n">
        <v>0</v>
      </c>
    </row>
    <row r="2754" spans="1:13">
      <c r="A2754" s="1">
        <f>HYPERLINK("http://www.twitter.com/NathanBLawrence/status/988640929144684544", "988640929144684544")</f>
        <v/>
      </c>
      <c r="B2754" s="2" t="n">
        <v>43214.20069444444</v>
      </c>
      <c r="C2754" t="n">
        <v>0</v>
      </c>
      <c r="D2754" t="n">
        <v>5</v>
      </c>
      <c r="E2754" t="s">
        <v>2754</v>
      </c>
      <c r="F2754" t="s"/>
      <c r="G2754" t="s"/>
      <c r="H2754" t="s"/>
      <c r="I2754" t="s"/>
      <c r="J2754" t="n">
        <v>0</v>
      </c>
      <c r="K2754" t="n">
        <v>0</v>
      </c>
      <c r="L2754" t="n">
        <v>1</v>
      </c>
      <c r="M2754" t="n">
        <v>0</v>
      </c>
    </row>
    <row r="2755" spans="1:13">
      <c r="A2755" s="1">
        <f>HYPERLINK("http://www.twitter.com/NathanBLawrence/status/988640908630413312", "988640908630413312")</f>
        <v/>
      </c>
      <c r="B2755" s="2" t="n">
        <v>43214.20063657407</v>
      </c>
      <c r="C2755" t="n">
        <v>0</v>
      </c>
      <c r="D2755" t="n">
        <v>3</v>
      </c>
      <c r="E2755" t="s">
        <v>2755</v>
      </c>
      <c r="F2755" t="s"/>
      <c r="G2755" t="s"/>
      <c r="H2755" t="s"/>
      <c r="I2755" t="s"/>
      <c r="J2755" t="n">
        <v>-0.4995</v>
      </c>
      <c r="K2755" t="n">
        <v>0.212</v>
      </c>
      <c r="L2755" t="n">
        <v>0.788</v>
      </c>
      <c r="M2755" t="n">
        <v>0</v>
      </c>
    </row>
    <row r="2756" spans="1:13">
      <c r="A2756" s="1">
        <f>HYPERLINK("http://www.twitter.com/NathanBLawrence/status/988640864267157504", "988640864267157504")</f>
        <v/>
      </c>
      <c r="B2756" s="2" t="n">
        <v>43214.20050925926</v>
      </c>
      <c r="C2756" t="n">
        <v>0</v>
      </c>
      <c r="D2756" t="n">
        <v>2</v>
      </c>
      <c r="E2756" t="s">
        <v>2756</v>
      </c>
      <c r="F2756" t="s"/>
      <c r="G2756" t="s"/>
      <c r="H2756" t="s"/>
      <c r="I2756" t="s"/>
      <c r="J2756" t="n">
        <v>-0.7034</v>
      </c>
      <c r="K2756" t="n">
        <v>0.294</v>
      </c>
      <c r="L2756" t="n">
        <v>0.706</v>
      </c>
      <c r="M2756" t="n">
        <v>0</v>
      </c>
    </row>
    <row r="2757" spans="1:13">
      <c r="A2757" s="1">
        <f>HYPERLINK("http://www.twitter.com/NathanBLawrence/status/988640836421206017", "988640836421206017")</f>
        <v/>
      </c>
      <c r="B2757" s="2" t="n">
        <v>43214.20043981481</v>
      </c>
      <c r="C2757" t="n">
        <v>0</v>
      </c>
      <c r="D2757" t="n">
        <v>2</v>
      </c>
      <c r="E2757" t="s">
        <v>2757</v>
      </c>
      <c r="F2757" t="s"/>
      <c r="G2757" t="s"/>
      <c r="H2757" t="s"/>
      <c r="I2757" t="s"/>
      <c r="J2757" t="n">
        <v>-0.4995</v>
      </c>
      <c r="K2757" t="n">
        <v>0.152</v>
      </c>
      <c r="L2757" t="n">
        <v>0.848</v>
      </c>
      <c r="M2757" t="n">
        <v>0</v>
      </c>
    </row>
    <row r="2758" spans="1:13">
      <c r="A2758" s="1">
        <f>HYPERLINK("http://www.twitter.com/NathanBLawrence/status/988640758927249408", "988640758927249408")</f>
        <v/>
      </c>
      <c r="B2758" s="2" t="n">
        <v>43214.2002199074</v>
      </c>
      <c r="C2758" t="n">
        <v>0</v>
      </c>
      <c r="D2758" t="n">
        <v>5</v>
      </c>
      <c r="E2758" t="s">
        <v>2758</v>
      </c>
      <c r="F2758">
        <f>HYPERLINK("http://pbs.twimg.com/media/DbhNX8WU0AA3rC4.jpg", "http://pbs.twimg.com/media/DbhNX8WU0AA3rC4.jpg")</f>
        <v/>
      </c>
      <c r="G2758">
        <f>HYPERLINK("http://pbs.twimg.com/media/DbhNZNtV4AAFder.jpg", "http://pbs.twimg.com/media/DbhNZNtV4AAFder.jpg")</f>
        <v/>
      </c>
      <c r="H2758">
        <f>HYPERLINK("http://pbs.twimg.com/media/DbhNacbVQAAXln0.jpg", "http://pbs.twimg.com/media/DbhNacbVQAAXln0.jpg")</f>
        <v/>
      </c>
      <c r="I2758" t="s"/>
      <c r="J2758" t="n">
        <v>0.7003</v>
      </c>
      <c r="K2758" t="n">
        <v>0</v>
      </c>
      <c r="L2758" t="n">
        <v>0.633</v>
      </c>
      <c r="M2758" t="n">
        <v>0.367</v>
      </c>
    </row>
    <row r="2759" spans="1:13">
      <c r="A2759" s="1">
        <f>HYPERLINK("http://www.twitter.com/NathanBLawrence/status/988640320454672384", "988640320454672384")</f>
        <v/>
      </c>
      <c r="B2759" s="2" t="n">
        <v>43214.1990162037</v>
      </c>
      <c r="C2759" t="n">
        <v>6</v>
      </c>
      <c r="D2759" t="n">
        <v>5</v>
      </c>
      <c r="E2759" t="s">
        <v>2759</v>
      </c>
      <c r="F2759">
        <f>HYPERLINK("http://pbs.twimg.com/media/DbhYV3OU0AIdigS.jpg", "http://pbs.twimg.com/media/DbhYV3OU0AIdigS.jpg")</f>
        <v/>
      </c>
      <c r="G2759">
        <f>HYPERLINK("http://pbs.twimg.com/media/DbhYYOCV4AExp0e.jpg", "http://pbs.twimg.com/media/DbhYYOCV4AExp0e.jpg")</f>
        <v/>
      </c>
      <c r="H2759">
        <f>HYPERLINK("http://pbs.twimg.com/media/DbhYZzYVAAEkhtK.jpg", "http://pbs.twimg.com/media/DbhYZzYVAAEkhtK.jpg")</f>
        <v/>
      </c>
      <c r="I2759">
        <f>HYPERLINK("http://pbs.twimg.com/media/DbhYt-FUwAAcryb.jpg", "http://pbs.twimg.com/media/DbhYt-FUwAAcryb.jpg")</f>
        <v/>
      </c>
      <c r="J2759" t="n">
        <v>-0.0772</v>
      </c>
      <c r="K2759" t="n">
        <v>0.061</v>
      </c>
      <c r="L2759" t="n">
        <v>0.883</v>
      </c>
      <c r="M2759" t="n">
        <v>0.056</v>
      </c>
    </row>
    <row r="2760" spans="1:13">
      <c r="A2760" s="1">
        <f>HYPERLINK("http://www.twitter.com/NathanBLawrence/status/988636048786780160", "988636048786780160")</f>
        <v/>
      </c>
      <c r="B2760" s="2" t="n">
        <v>43214.18722222222</v>
      </c>
      <c r="C2760" t="n">
        <v>2</v>
      </c>
      <c r="D2760" t="n">
        <v>1</v>
      </c>
      <c r="E2760" t="s">
        <v>2760</v>
      </c>
      <c r="F2760" t="s"/>
      <c r="G2760" t="s"/>
      <c r="H2760" t="s"/>
      <c r="I2760" t="s"/>
      <c r="J2760" t="n">
        <v>-0.8558</v>
      </c>
      <c r="K2760" t="n">
        <v>0.207</v>
      </c>
      <c r="L2760" t="n">
        <v>0.729</v>
      </c>
      <c r="M2760" t="n">
        <v>0.064</v>
      </c>
    </row>
    <row r="2761" spans="1:13">
      <c r="A2761" s="1">
        <f>HYPERLINK("http://www.twitter.com/NathanBLawrence/status/988635228028551168", "988635228028551168")</f>
        <v/>
      </c>
      <c r="B2761" s="2" t="n">
        <v>43214.18495370371</v>
      </c>
      <c r="C2761" t="n">
        <v>2</v>
      </c>
      <c r="D2761" t="n">
        <v>1</v>
      </c>
      <c r="E2761" t="s">
        <v>2761</v>
      </c>
      <c r="F2761" t="s"/>
      <c r="G2761" t="s"/>
      <c r="H2761" t="s"/>
      <c r="I2761" t="s"/>
      <c r="J2761" t="n">
        <v>-0.4404</v>
      </c>
      <c r="K2761" t="n">
        <v>0.073</v>
      </c>
      <c r="L2761" t="n">
        <v>0.891</v>
      </c>
      <c r="M2761" t="n">
        <v>0.036</v>
      </c>
    </row>
    <row r="2762" spans="1:13">
      <c r="A2762" s="1">
        <f>HYPERLINK("http://www.twitter.com/NathanBLawrence/status/988634582969794560", "988634582969794560")</f>
        <v/>
      </c>
      <c r="B2762" s="2" t="n">
        <v>43214.18318287037</v>
      </c>
      <c r="C2762" t="n">
        <v>2</v>
      </c>
      <c r="D2762" t="n">
        <v>2</v>
      </c>
      <c r="E2762" t="s">
        <v>2762</v>
      </c>
      <c r="F2762" t="s"/>
      <c r="G2762" t="s"/>
      <c r="H2762" t="s"/>
      <c r="I2762" t="s"/>
      <c r="J2762" t="n">
        <v>-0.4466</v>
      </c>
      <c r="K2762" t="n">
        <v>0.058</v>
      </c>
      <c r="L2762" t="n">
        <v>0.918</v>
      </c>
      <c r="M2762" t="n">
        <v>0.023</v>
      </c>
    </row>
    <row r="2763" spans="1:13">
      <c r="A2763" s="1">
        <f>HYPERLINK("http://www.twitter.com/NathanBLawrence/status/988633131463753728", "988633131463753728")</f>
        <v/>
      </c>
      <c r="B2763" s="2" t="n">
        <v>43214.17917824074</v>
      </c>
      <c r="C2763" t="n">
        <v>3</v>
      </c>
      <c r="D2763" t="n">
        <v>1</v>
      </c>
      <c r="E2763" t="s">
        <v>2763</v>
      </c>
      <c r="F2763" t="s"/>
      <c r="G2763" t="s"/>
      <c r="H2763" t="s"/>
      <c r="I2763" t="s"/>
      <c r="J2763" t="n">
        <v>0.4893</v>
      </c>
      <c r="K2763" t="n">
        <v>0.051</v>
      </c>
      <c r="L2763" t="n">
        <v>0.844</v>
      </c>
      <c r="M2763" t="n">
        <v>0.105</v>
      </c>
    </row>
    <row r="2764" spans="1:13">
      <c r="A2764" s="1">
        <f>HYPERLINK("http://www.twitter.com/NathanBLawrence/status/988630248416690177", "988630248416690177")</f>
        <v/>
      </c>
      <c r="B2764" s="2" t="n">
        <v>43214.17121527778</v>
      </c>
      <c r="C2764" t="n">
        <v>6</v>
      </c>
      <c r="D2764" t="n">
        <v>5</v>
      </c>
      <c r="E2764" t="s">
        <v>2764</v>
      </c>
      <c r="F2764" t="s"/>
      <c r="G2764" t="s"/>
      <c r="H2764" t="s"/>
      <c r="I2764" t="s"/>
      <c r="J2764" t="n">
        <v>0.4581</v>
      </c>
      <c r="K2764" t="n">
        <v>0.049</v>
      </c>
      <c r="L2764" t="n">
        <v>0.82</v>
      </c>
      <c r="M2764" t="n">
        <v>0.131</v>
      </c>
    </row>
    <row r="2765" spans="1:13">
      <c r="A2765" s="1">
        <f>HYPERLINK("http://www.twitter.com/NathanBLawrence/status/988628837272453122", "988628837272453122")</f>
        <v/>
      </c>
      <c r="B2765" s="2" t="n">
        <v>43214.16732638889</v>
      </c>
      <c r="C2765" t="n">
        <v>4</v>
      </c>
      <c r="D2765" t="n">
        <v>3</v>
      </c>
      <c r="E2765" t="s">
        <v>2765</v>
      </c>
      <c r="F2765" t="s"/>
      <c r="G2765" t="s"/>
      <c r="H2765" t="s"/>
      <c r="I2765" t="s"/>
      <c r="J2765" t="n">
        <v>-0.7804</v>
      </c>
      <c r="K2765" t="n">
        <v>0.196</v>
      </c>
      <c r="L2765" t="n">
        <v>0.804</v>
      </c>
      <c r="M2765" t="n">
        <v>0</v>
      </c>
    </row>
    <row r="2766" spans="1:13">
      <c r="A2766" s="1">
        <f>HYPERLINK("http://www.twitter.com/NathanBLawrence/status/988627593657122816", "988627593657122816")</f>
        <v/>
      </c>
      <c r="B2766" s="2" t="n">
        <v>43214.16388888889</v>
      </c>
      <c r="C2766" t="n">
        <v>5</v>
      </c>
      <c r="D2766" t="n">
        <v>2</v>
      </c>
      <c r="E2766" t="s">
        <v>2766</v>
      </c>
      <c r="F2766" t="s"/>
      <c r="G2766" t="s"/>
      <c r="H2766" t="s"/>
      <c r="I2766" t="s"/>
      <c r="J2766" t="n">
        <v>-0.6739000000000001</v>
      </c>
      <c r="K2766" t="n">
        <v>0.187</v>
      </c>
      <c r="L2766" t="n">
        <v>0.771</v>
      </c>
      <c r="M2766" t="n">
        <v>0.042</v>
      </c>
    </row>
    <row r="2767" spans="1:13">
      <c r="A2767" s="1">
        <f>HYPERLINK("http://www.twitter.com/NathanBLawrence/status/988625673408233472", "988625673408233472")</f>
        <v/>
      </c>
      <c r="B2767" s="2" t="n">
        <v>43214.15858796296</v>
      </c>
      <c r="C2767" t="n">
        <v>4</v>
      </c>
      <c r="D2767" t="n">
        <v>2</v>
      </c>
      <c r="E2767" t="s">
        <v>2767</v>
      </c>
      <c r="F2767" t="s"/>
      <c r="G2767" t="s"/>
      <c r="H2767" t="s"/>
      <c r="I2767" t="s"/>
      <c r="J2767" t="n">
        <v>-0.4995</v>
      </c>
      <c r="K2767" t="n">
        <v>0.123</v>
      </c>
      <c r="L2767" t="n">
        <v>0.877</v>
      </c>
      <c r="M2767" t="n">
        <v>0</v>
      </c>
    </row>
    <row r="2768" spans="1:13">
      <c r="A2768" s="1">
        <f>HYPERLINK("http://www.twitter.com/NathanBLawrence/status/988625276379672576", "988625276379672576")</f>
        <v/>
      </c>
      <c r="B2768" s="2" t="n">
        <v>43214.1575</v>
      </c>
      <c r="C2768" t="n">
        <v>8</v>
      </c>
      <c r="D2768" t="n">
        <v>5</v>
      </c>
      <c r="E2768" t="s">
        <v>2768</v>
      </c>
      <c r="F2768">
        <f>HYPERLINK("http://pbs.twimg.com/media/DbhNX8WU0AA3rC4.jpg", "http://pbs.twimg.com/media/DbhNX8WU0AA3rC4.jpg")</f>
        <v/>
      </c>
      <c r="G2768">
        <f>HYPERLINK("http://pbs.twimg.com/media/DbhNZNtV4AAFder.jpg", "http://pbs.twimg.com/media/DbhNZNtV4AAFder.jpg")</f>
        <v/>
      </c>
      <c r="H2768">
        <f>HYPERLINK("http://pbs.twimg.com/media/DbhNacbVQAAXln0.jpg", "http://pbs.twimg.com/media/DbhNacbVQAAXln0.jpg")</f>
        <v/>
      </c>
      <c r="I2768" t="s"/>
      <c r="J2768" t="n">
        <v>0.8100000000000001</v>
      </c>
      <c r="K2768" t="n">
        <v>0</v>
      </c>
      <c r="L2768" t="n">
        <v>0.803</v>
      </c>
      <c r="M2768" t="n">
        <v>0.197</v>
      </c>
    </row>
    <row r="2769" spans="1:13">
      <c r="A2769" s="1">
        <f>HYPERLINK("http://www.twitter.com/NathanBLawrence/status/988621637988761600", "988621637988761600")</f>
        <v/>
      </c>
      <c r="B2769" s="2" t="n">
        <v>43214.14745370371</v>
      </c>
      <c r="C2769" t="n">
        <v>0</v>
      </c>
      <c r="D2769" t="n">
        <v>9</v>
      </c>
      <c r="E2769" t="s">
        <v>2769</v>
      </c>
      <c r="F2769" t="s"/>
      <c r="G2769" t="s"/>
      <c r="H2769" t="s"/>
      <c r="I2769" t="s"/>
      <c r="J2769" t="n">
        <v>0.6124000000000001</v>
      </c>
      <c r="K2769" t="n">
        <v>0.077</v>
      </c>
      <c r="L2769" t="n">
        <v>0.669</v>
      </c>
      <c r="M2769" t="n">
        <v>0.254</v>
      </c>
    </row>
    <row r="2770" spans="1:13">
      <c r="A2770" s="1">
        <f>HYPERLINK("http://www.twitter.com/NathanBLawrence/status/988620253021126656", "988620253021126656")</f>
        <v/>
      </c>
      <c r="B2770" s="2" t="n">
        <v>43214.14363425926</v>
      </c>
      <c r="C2770" t="n">
        <v>3</v>
      </c>
      <c r="D2770" t="n">
        <v>0</v>
      </c>
      <c r="E2770" t="s">
        <v>2770</v>
      </c>
      <c r="F2770" t="s"/>
      <c r="G2770" t="s"/>
      <c r="H2770" t="s"/>
      <c r="I2770" t="s"/>
      <c r="J2770" t="n">
        <v>-0.8723</v>
      </c>
      <c r="K2770" t="n">
        <v>0.438</v>
      </c>
      <c r="L2770" t="n">
        <v>0.5620000000000001</v>
      </c>
      <c r="M2770" t="n">
        <v>0</v>
      </c>
    </row>
    <row r="2771" spans="1:13">
      <c r="A2771" s="1">
        <f>HYPERLINK("http://www.twitter.com/NathanBLawrence/status/988619466178097152", "988619466178097152")</f>
        <v/>
      </c>
      <c r="B2771" s="2" t="n">
        <v>43214.14146990741</v>
      </c>
      <c r="C2771" t="n">
        <v>0</v>
      </c>
      <c r="D2771" t="n">
        <v>4</v>
      </c>
      <c r="E2771" t="s">
        <v>2771</v>
      </c>
      <c r="F2771" t="s"/>
      <c r="G2771" t="s"/>
      <c r="H2771" t="s"/>
      <c r="I2771" t="s"/>
      <c r="J2771" t="n">
        <v>-0.4767</v>
      </c>
      <c r="K2771" t="n">
        <v>0.134</v>
      </c>
      <c r="L2771" t="n">
        <v>0.866</v>
      </c>
      <c r="M2771" t="n">
        <v>0</v>
      </c>
    </row>
    <row r="2772" spans="1:13">
      <c r="A2772" s="1">
        <f>HYPERLINK("http://www.twitter.com/NathanBLawrence/status/988618821408718848", "988618821408718848")</f>
        <v/>
      </c>
      <c r="B2772" s="2" t="n">
        <v>43214.1396875</v>
      </c>
      <c r="C2772" t="n">
        <v>0</v>
      </c>
      <c r="D2772" t="n">
        <v>13</v>
      </c>
      <c r="E2772" t="s">
        <v>2772</v>
      </c>
      <c r="F2772" t="s"/>
      <c r="G2772" t="s"/>
      <c r="H2772" t="s"/>
      <c r="I2772" t="s"/>
      <c r="J2772" t="n">
        <v>-0.4215</v>
      </c>
      <c r="K2772" t="n">
        <v>0.128</v>
      </c>
      <c r="L2772" t="n">
        <v>0.872</v>
      </c>
      <c r="M2772" t="n">
        <v>0</v>
      </c>
    </row>
    <row r="2773" spans="1:13">
      <c r="A2773" s="1">
        <f>HYPERLINK("http://www.twitter.com/NathanBLawrence/status/988618617674579968", "988618617674579968")</f>
        <v/>
      </c>
      <c r="B2773" s="2" t="n">
        <v>43214.13912037037</v>
      </c>
      <c r="C2773" t="n">
        <v>0</v>
      </c>
      <c r="D2773" t="n">
        <v>4</v>
      </c>
      <c r="E2773" t="s">
        <v>2773</v>
      </c>
      <c r="F2773">
        <f>HYPERLINK("http://pbs.twimg.com/media/DbfeouOWkAAfO9h.jpg", "http://pbs.twimg.com/media/DbfeouOWkAAfO9h.jpg")</f>
        <v/>
      </c>
      <c r="G2773" t="s"/>
      <c r="H2773" t="s"/>
      <c r="I2773" t="s"/>
      <c r="J2773" t="n">
        <v>0</v>
      </c>
      <c r="K2773" t="n">
        <v>0</v>
      </c>
      <c r="L2773" t="n">
        <v>1</v>
      </c>
      <c r="M2773" t="n">
        <v>0</v>
      </c>
    </row>
    <row r="2774" spans="1:13">
      <c r="A2774" s="1">
        <f>HYPERLINK("http://www.twitter.com/NathanBLawrence/status/988618430327603201", "988618430327603201")</f>
        <v/>
      </c>
      <c r="B2774" s="2" t="n">
        <v>43214.13861111111</v>
      </c>
      <c r="C2774" t="n">
        <v>0</v>
      </c>
      <c r="D2774" t="n">
        <v>3</v>
      </c>
      <c r="E2774" t="s">
        <v>2774</v>
      </c>
      <c r="F2774" t="s"/>
      <c r="G2774" t="s"/>
      <c r="H2774" t="s"/>
      <c r="I2774" t="s"/>
      <c r="J2774" t="n">
        <v>-0.5532</v>
      </c>
      <c r="K2774" t="n">
        <v>0.237</v>
      </c>
      <c r="L2774" t="n">
        <v>0.681</v>
      </c>
      <c r="M2774" t="n">
        <v>0.082</v>
      </c>
    </row>
    <row r="2775" spans="1:13">
      <c r="A2775" s="1">
        <f>HYPERLINK("http://www.twitter.com/NathanBLawrence/status/988617880915689472", "988617880915689472")</f>
        <v/>
      </c>
      <c r="B2775" s="2" t="n">
        <v>43214.1370949074</v>
      </c>
      <c r="C2775" t="n">
        <v>0</v>
      </c>
      <c r="D2775" t="n">
        <v>8</v>
      </c>
      <c r="E2775" t="s">
        <v>2775</v>
      </c>
      <c r="F2775" t="s"/>
      <c r="G2775" t="s"/>
      <c r="H2775" t="s"/>
      <c r="I2775" t="s"/>
      <c r="J2775" t="n">
        <v>0.4404</v>
      </c>
      <c r="K2775" t="n">
        <v>0</v>
      </c>
      <c r="L2775" t="n">
        <v>0.868</v>
      </c>
      <c r="M2775" t="n">
        <v>0.132</v>
      </c>
    </row>
    <row r="2776" spans="1:13">
      <c r="A2776" s="1">
        <f>HYPERLINK("http://www.twitter.com/NathanBLawrence/status/988617743187390464", "988617743187390464")</f>
        <v/>
      </c>
      <c r="B2776" s="2" t="n">
        <v>43214.13671296297</v>
      </c>
      <c r="C2776" t="n">
        <v>0</v>
      </c>
      <c r="D2776" t="n">
        <v>5</v>
      </c>
      <c r="E2776" t="s">
        <v>2776</v>
      </c>
      <c r="F2776">
        <f>HYPERLINK("http://pbs.twimg.com/media/Dbe1c7oWAAA7gm_.jpg", "http://pbs.twimg.com/media/Dbe1c7oWAAA7gm_.jpg")</f>
        <v/>
      </c>
      <c r="G2776" t="s"/>
      <c r="H2776" t="s"/>
      <c r="I2776" t="s"/>
      <c r="J2776" t="n">
        <v>-0.3412</v>
      </c>
      <c r="K2776" t="n">
        <v>0.124</v>
      </c>
      <c r="L2776" t="n">
        <v>0.876</v>
      </c>
      <c r="M2776" t="n">
        <v>0</v>
      </c>
    </row>
    <row r="2777" spans="1:13">
      <c r="A2777" s="1">
        <f>HYPERLINK("http://www.twitter.com/NathanBLawrence/status/988617524903264261", "988617524903264261")</f>
        <v/>
      </c>
      <c r="B2777" s="2" t="n">
        <v>43214.13611111111</v>
      </c>
      <c r="C2777" t="n">
        <v>0</v>
      </c>
      <c r="D2777" t="n">
        <v>11</v>
      </c>
      <c r="E2777" t="s">
        <v>2777</v>
      </c>
      <c r="F2777">
        <f>HYPERLINK("http://pbs.twimg.com/media/DbdzlBhUQAAX0Gz.jpg", "http://pbs.twimg.com/media/DbdzlBhUQAAX0Gz.jpg")</f>
        <v/>
      </c>
      <c r="G2777" t="s"/>
      <c r="H2777" t="s"/>
      <c r="I2777" t="s"/>
      <c r="J2777" t="n">
        <v>0.25</v>
      </c>
      <c r="K2777" t="n">
        <v>0.08699999999999999</v>
      </c>
      <c r="L2777" t="n">
        <v>0.748</v>
      </c>
      <c r="M2777" t="n">
        <v>0.165</v>
      </c>
    </row>
    <row r="2778" spans="1:13">
      <c r="A2778" s="1">
        <f>HYPERLINK("http://www.twitter.com/NathanBLawrence/status/988614879505362944", "988614879505362944")</f>
        <v/>
      </c>
      <c r="B2778" s="2" t="n">
        <v>43214.12880787037</v>
      </c>
      <c r="C2778" t="n">
        <v>0</v>
      </c>
      <c r="D2778" t="n">
        <v>0</v>
      </c>
      <c r="E2778" t="s">
        <v>2778</v>
      </c>
      <c r="F2778">
        <f>HYPERLINK("http://pbs.twimg.com/media/DbhDt-3V4AMhZYh.jpg", "http://pbs.twimg.com/media/DbhDt-3V4AMhZYh.jpg")</f>
        <v/>
      </c>
      <c r="G2778">
        <f>HYPERLINK("http://pbs.twimg.com/media/DbhDwoWV4AE87fg.jpg", "http://pbs.twimg.com/media/DbhDwoWV4AE87fg.jpg")</f>
        <v/>
      </c>
      <c r="H2778">
        <f>HYPERLINK("http://pbs.twimg.com/media/DbhDxfrVQAIzAYb.jpg", "http://pbs.twimg.com/media/DbhDxfrVQAIzAYb.jpg")</f>
        <v/>
      </c>
      <c r="I2778" t="s"/>
      <c r="J2778" t="n">
        <v>0.8100000000000001</v>
      </c>
      <c r="K2778" t="n">
        <v>0</v>
      </c>
      <c r="L2778" t="n">
        <v>0.803</v>
      </c>
      <c r="M2778" t="n">
        <v>0.197</v>
      </c>
    </row>
    <row r="2779" spans="1:13">
      <c r="A2779" s="1">
        <f>HYPERLINK("http://www.twitter.com/NathanBLawrence/status/988513036758482944", "988513036758482944")</f>
        <v/>
      </c>
      <c r="B2779" s="2" t="n">
        <v>43213.84777777778</v>
      </c>
      <c r="C2779" t="n">
        <v>0</v>
      </c>
      <c r="D2779" t="n">
        <v>2</v>
      </c>
      <c r="E2779" t="s">
        <v>2779</v>
      </c>
      <c r="F2779" t="s"/>
      <c r="G2779" t="s"/>
      <c r="H2779" t="s"/>
      <c r="I2779" t="s"/>
      <c r="J2779" t="n">
        <v>-0.9429</v>
      </c>
      <c r="K2779" t="n">
        <v>0.533</v>
      </c>
      <c r="L2779" t="n">
        <v>0.467</v>
      </c>
      <c r="M2779" t="n">
        <v>0</v>
      </c>
    </row>
    <row r="2780" spans="1:13">
      <c r="A2780" s="1">
        <f>HYPERLINK("http://www.twitter.com/NathanBLawrence/status/988512967288213504", "988512967288213504")</f>
        <v/>
      </c>
      <c r="B2780" s="2" t="n">
        <v>43213.84758101852</v>
      </c>
      <c r="C2780" t="n">
        <v>3</v>
      </c>
      <c r="D2780" t="n">
        <v>2</v>
      </c>
      <c r="E2780" t="s">
        <v>2780</v>
      </c>
      <c r="F2780" t="s"/>
      <c r="G2780" t="s"/>
      <c r="H2780" t="s"/>
      <c r="I2780" t="s"/>
      <c r="J2780" t="n">
        <v>-0.9429</v>
      </c>
      <c r="K2780" t="n">
        <v>0.39</v>
      </c>
      <c r="L2780" t="n">
        <v>0.61</v>
      </c>
      <c r="M2780" t="n">
        <v>0</v>
      </c>
    </row>
    <row r="2781" spans="1:13">
      <c r="A2781" s="1">
        <f>HYPERLINK("http://www.twitter.com/NathanBLawrence/status/988511780908380160", "988511780908380160")</f>
        <v/>
      </c>
      <c r="B2781" s="2" t="n">
        <v>43213.84430555555</v>
      </c>
      <c r="C2781" t="n">
        <v>0</v>
      </c>
      <c r="D2781" t="n">
        <v>23</v>
      </c>
      <c r="E2781" t="s">
        <v>2781</v>
      </c>
      <c r="F2781">
        <f>HYPERLINK("http://pbs.twimg.com/media/DbeelY-XUAEDaDB.jpg", "http://pbs.twimg.com/media/DbeelY-XUAEDaDB.jpg")</f>
        <v/>
      </c>
      <c r="G2781" t="s"/>
      <c r="H2781" t="s"/>
      <c r="I2781" t="s"/>
      <c r="J2781" t="n">
        <v>-0.1323</v>
      </c>
      <c r="K2781" t="n">
        <v>0.13</v>
      </c>
      <c r="L2781" t="n">
        <v>0.76</v>
      </c>
      <c r="M2781" t="n">
        <v>0.11</v>
      </c>
    </row>
    <row r="2782" spans="1:13">
      <c r="A2782" s="1">
        <f>HYPERLINK("http://www.twitter.com/NathanBLawrence/status/988511694602170368", "988511694602170368")</f>
        <v/>
      </c>
      <c r="B2782" s="2" t="n">
        <v>43213.84407407408</v>
      </c>
      <c r="C2782" t="n">
        <v>0</v>
      </c>
      <c r="D2782" t="n">
        <v>2</v>
      </c>
      <c r="E2782" t="s">
        <v>2782</v>
      </c>
      <c r="F2782" t="s"/>
      <c r="G2782" t="s"/>
      <c r="H2782" t="s"/>
      <c r="I2782" t="s"/>
      <c r="J2782" t="n">
        <v>0</v>
      </c>
      <c r="K2782" t="n">
        <v>0</v>
      </c>
      <c r="L2782" t="n">
        <v>1</v>
      </c>
      <c r="M2782" t="n">
        <v>0</v>
      </c>
    </row>
    <row r="2783" spans="1:13">
      <c r="A2783" s="1">
        <f>HYPERLINK("http://www.twitter.com/NathanBLawrence/status/988511663262351362", "988511663262351362")</f>
        <v/>
      </c>
      <c r="B2783" s="2" t="n">
        <v>43213.84398148148</v>
      </c>
      <c r="C2783" t="n">
        <v>0</v>
      </c>
      <c r="D2783" t="n">
        <v>3</v>
      </c>
      <c r="E2783" t="s">
        <v>2783</v>
      </c>
      <c r="F2783">
        <f>HYPERLINK("http://pbs.twimg.com/media/DbfjLRwUQAAz-_y.jpg", "http://pbs.twimg.com/media/DbfjLRwUQAAz-_y.jpg")</f>
        <v/>
      </c>
      <c r="G2783">
        <f>HYPERLINK("http://pbs.twimg.com/media/DbfjNWQV0AEKwPe.jpg", "http://pbs.twimg.com/media/DbfjNWQV0AEKwPe.jpg")</f>
        <v/>
      </c>
      <c r="H2783">
        <f>HYPERLINK("http://pbs.twimg.com/media/DbfjOM_U0AAGoJX.jpg", "http://pbs.twimg.com/media/DbfjOM_U0AAGoJX.jpg")</f>
        <v/>
      </c>
      <c r="I2783" t="s"/>
      <c r="J2783" t="n">
        <v>0</v>
      </c>
      <c r="K2783" t="n">
        <v>0</v>
      </c>
      <c r="L2783" t="n">
        <v>1</v>
      </c>
      <c r="M2783" t="n">
        <v>0</v>
      </c>
    </row>
    <row r="2784" spans="1:13">
      <c r="A2784" s="1">
        <f>HYPERLINK("http://www.twitter.com/NathanBLawrence/status/988511280758599680", "988511280758599680")</f>
        <v/>
      </c>
      <c r="B2784" s="2" t="n">
        <v>43213.84292824074</v>
      </c>
      <c r="C2784" t="n">
        <v>0</v>
      </c>
      <c r="D2784" t="n">
        <v>2</v>
      </c>
      <c r="E2784" t="s">
        <v>2784</v>
      </c>
      <c r="F2784" t="s"/>
      <c r="G2784" t="s"/>
      <c r="H2784" t="s"/>
      <c r="I2784" t="s"/>
      <c r="J2784" t="n">
        <v>0.6124000000000001</v>
      </c>
      <c r="K2784" t="n">
        <v>0</v>
      </c>
      <c r="L2784" t="n">
        <v>0.875</v>
      </c>
      <c r="M2784" t="n">
        <v>0.125</v>
      </c>
    </row>
    <row r="2785" spans="1:13">
      <c r="A2785" s="1">
        <f>HYPERLINK("http://www.twitter.com/NathanBLawrence/status/988509512972750848", "988509512972750848")</f>
        <v/>
      </c>
      <c r="B2785" s="2" t="n">
        <v>43213.83805555556</v>
      </c>
      <c r="C2785" t="n">
        <v>1</v>
      </c>
      <c r="D2785" t="n">
        <v>3</v>
      </c>
      <c r="E2785" t="s">
        <v>2785</v>
      </c>
      <c r="F2785">
        <f>HYPERLINK("http://pbs.twimg.com/media/DbfjLRwUQAAz-_y.jpg", "http://pbs.twimg.com/media/DbfjLRwUQAAz-_y.jpg")</f>
        <v/>
      </c>
      <c r="G2785">
        <f>HYPERLINK("http://pbs.twimg.com/media/DbfjNWQV0AEKwPe.jpg", "http://pbs.twimg.com/media/DbfjNWQV0AEKwPe.jpg")</f>
        <v/>
      </c>
      <c r="H2785">
        <f>HYPERLINK("http://pbs.twimg.com/media/DbfjOM_U0AAGoJX.jpg", "http://pbs.twimg.com/media/DbfjOM_U0AAGoJX.jpg")</f>
        <v/>
      </c>
      <c r="I2785" t="s"/>
      <c r="J2785" t="n">
        <v>-0.5266999999999999</v>
      </c>
      <c r="K2785" t="n">
        <v>0.08</v>
      </c>
      <c r="L2785" t="n">
        <v>0.92</v>
      </c>
      <c r="M2785" t="n">
        <v>0</v>
      </c>
    </row>
    <row r="2786" spans="1:13">
      <c r="A2786" s="1">
        <f>HYPERLINK("http://www.twitter.com/NathanBLawrence/status/988465941682962432", "988465941682962432")</f>
        <v/>
      </c>
      <c r="B2786" s="2" t="n">
        <v>43213.7178125</v>
      </c>
      <c r="C2786" t="n">
        <v>0</v>
      </c>
      <c r="D2786" t="n">
        <v>2939</v>
      </c>
      <c r="E2786" t="s">
        <v>2786</v>
      </c>
      <c r="F2786" t="s"/>
      <c r="G2786" t="s"/>
      <c r="H2786" t="s"/>
      <c r="I2786" t="s"/>
      <c r="J2786" t="n">
        <v>0.3818</v>
      </c>
      <c r="K2786" t="n">
        <v>0</v>
      </c>
      <c r="L2786" t="n">
        <v>0.847</v>
      </c>
      <c r="M2786" t="n">
        <v>0.153</v>
      </c>
    </row>
    <row r="2787" spans="1:13">
      <c r="A2787" s="1">
        <f>HYPERLINK("http://www.twitter.com/NathanBLawrence/status/988465801580560384", "988465801580560384")</f>
        <v/>
      </c>
      <c r="B2787" s="2" t="n">
        <v>43213.71743055555</v>
      </c>
      <c r="C2787" t="n">
        <v>0</v>
      </c>
      <c r="D2787" t="n">
        <v>26874</v>
      </c>
      <c r="E2787" t="s">
        <v>2787</v>
      </c>
      <c r="F2787" t="s"/>
      <c r="G2787" t="s"/>
      <c r="H2787" t="s"/>
      <c r="I2787" t="s"/>
      <c r="J2787" t="n">
        <v>0.2263</v>
      </c>
      <c r="K2787" t="n">
        <v>0</v>
      </c>
      <c r="L2787" t="n">
        <v>0.905</v>
      </c>
      <c r="M2787" t="n">
        <v>0.095</v>
      </c>
    </row>
    <row r="2788" spans="1:13">
      <c r="A2788" s="1">
        <f>HYPERLINK("http://www.twitter.com/NathanBLawrence/status/988465669334224896", "988465669334224896")</f>
        <v/>
      </c>
      <c r="B2788" s="2" t="n">
        <v>43213.71707175926</v>
      </c>
      <c r="C2788" t="n">
        <v>0</v>
      </c>
      <c r="D2788" t="n">
        <v>371</v>
      </c>
      <c r="E2788" t="s">
        <v>2788</v>
      </c>
      <c r="F2788" t="s"/>
      <c r="G2788" t="s"/>
      <c r="H2788" t="s"/>
      <c r="I2788" t="s"/>
      <c r="J2788" t="n">
        <v>0</v>
      </c>
      <c r="K2788" t="n">
        <v>0</v>
      </c>
      <c r="L2788" t="n">
        <v>1</v>
      </c>
      <c r="M2788" t="n">
        <v>0</v>
      </c>
    </row>
    <row r="2789" spans="1:13">
      <c r="A2789" s="1">
        <f>HYPERLINK("http://www.twitter.com/NathanBLawrence/status/988465596860776449", "988465596860776449")</f>
        <v/>
      </c>
      <c r="B2789" s="2" t="n">
        <v>43213.71686342593</v>
      </c>
      <c r="C2789" t="n">
        <v>0</v>
      </c>
      <c r="D2789" t="n">
        <v>5047</v>
      </c>
      <c r="E2789" t="s">
        <v>2789</v>
      </c>
      <c r="F2789" t="s"/>
      <c r="G2789" t="s"/>
      <c r="H2789" t="s"/>
      <c r="I2789" t="s"/>
      <c r="J2789" t="n">
        <v>0.3182</v>
      </c>
      <c r="K2789" t="n">
        <v>0</v>
      </c>
      <c r="L2789" t="n">
        <v>0.723</v>
      </c>
      <c r="M2789" t="n">
        <v>0.277</v>
      </c>
    </row>
    <row r="2790" spans="1:13">
      <c r="A2790" s="1">
        <f>HYPERLINK("http://www.twitter.com/NathanBLawrence/status/988465531886780416", "988465531886780416")</f>
        <v/>
      </c>
      <c r="B2790" s="2" t="n">
        <v>43213.71668981481</v>
      </c>
      <c r="C2790" t="n">
        <v>0</v>
      </c>
      <c r="D2790" t="n">
        <v>1384</v>
      </c>
      <c r="E2790" t="s">
        <v>2790</v>
      </c>
      <c r="F2790" t="s"/>
      <c r="G2790" t="s"/>
      <c r="H2790" t="s"/>
      <c r="I2790" t="s"/>
      <c r="J2790" t="n">
        <v>0</v>
      </c>
      <c r="K2790" t="n">
        <v>0</v>
      </c>
      <c r="L2790" t="n">
        <v>1</v>
      </c>
      <c r="M2790" t="n">
        <v>0</v>
      </c>
    </row>
    <row r="2791" spans="1:13">
      <c r="A2791" s="1">
        <f>HYPERLINK("http://www.twitter.com/NathanBLawrence/status/988451230211981312", "988451230211981312")</f>
        <v/>
      </c>
      <c r="B2791" s="2" t="n">
        <v>43213.67722222222</v>
      </c>
      <c r="C2791" t="n">
        <v>0</v>
      </c>
      <c r="D2791" t="n">
        <v>25281</v>
      </c>
      <c r="E2791" t="s">
        <v>2791</v>
      </c>
      <c r="F2791" t="s"/>
      <c r="G2791" t="s"/>
      <c r="H2791" t="s"/>
      <c r="I2791" t="s"/>
      <c r="J2791" t="n">
        <v>-0.5034</v>
      </c>
      <c r="K2791" t="n">
        <v>0.169</v>
      </c>
      <c r="L2791" t="n">
        <v>0.831</v>
      </c>
      <c r="M2791" t="n">
        <v>0</v>
      </c>
    </row>
    <row r="2792" spans="1:13">
      <c r="A2792" s="1">
        <f>HYPERLINK("http://www.twitter.com/NathanBLawrence/status/988451119658549248", "988451119658549248")</f>
        <v/>
      </c>
      <c r="B2792" s="2" t="n">
        <v>43213.6769212963</v>
      </c>
      <c r="C2792" t="n">
        <v>0</v>
      </c>
      <c r="D2792" t="n">
        <v>25707</v>
      </c>
      <c r="E2792" t="s">
        <v>2792</v>
      </c>
      <c r="F2792" t="s"/>
      <c r="G2792" t="s"/>
      <c r="H2792" t="s"/>
      <c r="I2792" t="s"/>
      <c r="J2792" t="n">
        <v>-0.3163</v>
      </c>
      <c r="K2792" t="n">
        <v>0.162</v>
      </c>
      <c r="L2792" t="n">
        <v>0.722</v>
      </c>
      <c r="M2792" t="n">
        <v>0.116</v>
      </c>
    </row>
    <row r="2793" spans="1:13">
      <c r="A2793" s="1">
        <f>HYPERLINK("http://www.twitter.com/NathanBLawrence/status/988451001496584194", "988451001496584194")</f>
        <v/>
      </c>
      <c r="B2793" s="2" t="n">
        <v>43213.67658564815</v>
      </c>
      <c r="C2793" t="n">
        <v>0</v>
      </c>
      <c r="D2793" t="n">
        <v>22824</v>
      </c>
      <c r="E2793" t="s">
        <v>2793</v>
      </c>
      <c r="F2793" t="s"/>
      <c r="G2793" t="s"/>
      <c r="H2793" t="s"/>
      <c r="I2793" t="s"/>
      <c r="J2793" t="n">
        <v>-0.1027</v>
      </c>
      <c r="K2793" t="n">
        <v>0.065</v>
      </c>
      <c r="L2793" t="n">
        <v>0.9350000000000001</v>
      </c>
      <c r="M2793" t="n">
        <v>0</v>
      </c>
    </row>
    <row r="2794" spans="1:13">
      <c r="A2794" s="1">
        <f>HYPERLINK("http://www.twitter.com/NathanBLawrence/status/988450805698064384", "988450805698064384")</f>
        <v/>
      </c>
      <c r="B2794" s="2" t="n">
        <v>43213.67605324074</v>
      </c>
      <c r="C2794" t="n">
        <v>0</v>
      </c>
      <c r="D2794" t="n">
        <v>17394</v>
      </c>
      <c r="E2794" t="s">
        <v>2794</v>
      </c>
      <c r="F2794">
        <f>HYPERLINK("http://pbs.twimg.com/media/Dbab1avV4AANUCf.jpg", "http://pbs.twimg.com/media/Dbab1avV4AANUCf.jpg")</f>
        <v/>
      </c>
      <c r="G2794" t="s"/>
      <c r="H2794" t="s"/>
      <c r="I2794" t="s"/>
      <c r="J2794" t="n">
        <v>0.6597</v>
      </c>
      <c r="K2794" t="n">
        <v>0</v>
      </c>
      <c r="L2794" t="n">
        <v>0.787</v>
      </c>
      <c r="M2794" t="n">
        <v>0.213</v>
      </c>
    </row>
    <row r="2795" spans="1:13">
      <c r="A2795" s="1">
        <f>HYPERLINK("http://www.twitter.com/NathanBLawrence/status/988450769144692736", "988450769144692736")</f>
        <v/>
      </c>
      <c r="B2795" s="2" t="n">
        <v>43213.67594907407</v>
      </c>
      <c r="C2795" t="n">
        <v>0</v>
      </c>
      <c r="D2795" t="n">
        <v>24251</v>
      </c>
      <c r="E2795" t="s">
        <v>2795</v>
      </c>
      <c r="F2795" t="s"/>
      <c r="G2795" t="s"/>
      <c r="H2795" t="s"/>
      <c r="I2795" t="s"/>
      <c r="J2795" t="n">
        <v>-0.5106000000000001</v>
      </c>
      <c r="K2795" t="n">
        <v>0.121</v>
      </c>
      <c r="L2795" t="n">
        <v>0.879</v>
      </c>
      <c r="M2795" t="n">
        <v>0</v>
      </c>
    </row>
    <row r="2796" spans="1:13">
      <c r="A2796" s="1">
        <f>HYPERLINK("http://www.twitter.com/NathanBLawrence/status/988450636290080768", "988450636290080768")</f>
        <v/>
      </c>
      <c r="B2796" s="2" t="n">
        <v>43213.6755787037</v>
      </c>
      <c r="C2796" t="n">
        <v>0</v>
      </c>
      <c r="D2796" t="n">
        <v>28339</v>
      </c>
      <c r="E2796" t="s">
        <v>2796</v>
      </c>
      <c r="F2796" t="s"/>
      <c r="G2796" t="s"/>
      <c r="H2796" t="s"/>
      <c r="I2796" t="s"/>
      <c r="J2796" t="n">
        <v>0.4404</v>
      </c>
      <c r="K2796" t="n">
        <v>0</v>
      </c>
      <c r="L2796" t="n">
        <v>0.892</v>
      </c>
      <c r="M2796" t="n">
        <v>0.108</v>
      </c>
    </row>
    <row r="2797" spans="1:13">
      <c r="A2797" s="1">
        <f>HYPERLINK("http://www.twitter.com/NathanBLawrence/status/988450574088597504", "988450574088597504")</f>
        <v/>
      </c>
      <c r="B2797" s="2" t="n">
        <v>43213.67541666667</v>
      </c>
      <c r="C2797" t="n">
        <v>0</v>
      </c>
      <c r="D2797" t="n">
        <v>20039</v>
      </c>
      <c r="E2797" t="s">
        <v>2797</v>
      </c>
      <c r="F2797" t="s"/>
      <c r="G2797" t="s"/>
      <c r="H2797" t="s"/>
      <c r="I2797" t="s"/>
      <c r="J2797" t="n">
        <v>-0.4199</v>
      </c>
      <c r="K2797" t="n">
        <v>0.411</v>
      </c>
      <c r="L2797" t="n">
        <v>0.589</v>
      </c>
      <c r="M2797" t="n">
        <v>0</v>
      </c>
    </row>
    <row r="2798" spans="1:13">
      <c r="A2798" s="1">
        <f>HYPERLINK("http://www.twitter.com/NathanBLawrence/status/988450555998621696", "988450555998621696")</f>
        <v/>
      </c>
      <c r="B2798" s="2" t="n">
        <v>43213.6753587963</v>
      </c>
      <c r="C2798" t="n">
        <v>0</v>
      </c>
      <c r="D2798" t="n">
        <v>16896</v>
      </c>
      <c r="E2798" t="s">
        <v>2798</v>
      </c>
      <c r="F2798" t="s"/>
      <c r="G2798" t="s"/>
      <c r="H2798" t="s"/>
      <c r="I2798" t="s"/>
      <c r="J2798" t="n">
        <v>0.7712</v>
      </c>
      <c r="K2798" t="n">
        <v>0.124</v>
      </c>
      <c r="L2798" t="n">
        <v>0.54</v>
      </c>
      <c r="M2798" t="n">
        <v>0.336</v>
      </c>
    </row>
    <row r="2799" spans="1:13">
      <c r="A2799" s="1">
        <f>HYPERLINK("http://www.twitter.com/NathanBLawrence/status/988450458598440960", "988450458598440960")</f>
        <v/>
      </c>
      <c r="B2799" s="2" t="n">
        <v>43213.6750925926</v>
      </c>
      <c r="C2799" t="n">
        <v>0</v>
      </c>
      <c r="D2799" t="n">
        <v>22037</v>
      </c>
      <c r="E2799" t="s">
        <v>2799</v>
      </c>
      <c r="F2799" t="s"/>
      <c r="G2799" t="s"/>
      <c r="H2799" t="s"/>
      <c r="I2799" t="s"/>
      <c r="J2799" t="n">
        <v>0</v>
      </c>
      <c r="K2799" t="n">
        <v>0</v>
      </c>
      <c r="L2799" t="n">
        <v>1</v>
      </c>
      <c r="M2799" t="n">
        <v>0</v>
      </c>
    </row>
    <row r="2800" spans="1:13">
      <c r="A2800" s="1">
        <f>HYPERLINK("http://www.twitter.com/NathanBLawrence/status/988450366973870080", "988450366973870080")</f>
        <v/>
      </c>
      <c r="B2800" s="2" t="n">
        <v>43213.67483796296</v>
      </c>
      <c r="C2800" t="n">
        <v>0</v>
      </c>
      <c r="D2800" t="n">
        <v>25744</v>
      </c>
      <c r="E2800" t="s">
        <v>2800</v>
      </c>
      <c r="F2800" t="s"/>
      <c r="G2800" t="s"/>
      <c r="H2800" t="s"/>
      <c r="I2800" t="s"/>
      <c r="J2800" t="n">
        <v>-0.4767</v>
      </c>
      <c r="K2800" t="n">
        <v>0.114</v>
      </c>
      <c r="L2800" t="n">
        <v>0.886</v>
      </c>
      <c r="M2800" t="n">
        <v>0</v>
      </c>
    </row>
    <row r="2801" spans="1:13">
      <c r="A2801" s="1">
        <f>HYPERLINK("http://www.twitter.com/NathanBLawrence/status/988450186782371840", "988450186782371840")</f>
        <v/>
      </c>
      <c r="B2801" s="2" t="n">
        <v>43213.67434027778</v>
      </c>
      <c r="C2801" t="n">
        <v>0</v>
      </c>
      <c r="D2801" t="n">
        <v>20581</v>
      </c>
      <c r="E2801" t="s">
        <v>2801</v>
      </c>
      <c r="F2801" t="s"/>
      <c r="G2801" t="s"/>
      <c r="H2801" t="s"/>
      <c r="I2801" t="s"/>
      <c r="J2801" t="n">
        <v>0.7345</v>
      </c>
      <c r="K2801" t="n">
        <v>0</v>
      </c>
      <c r="L2801" t="n">
        <v>0.721</v>
      </c>
      <c r="M2801" t="n">
        <v>0.279</v>
      </c>
    </row>
    <row r="2802" spans="1:13">
      <c r="A2802" s="1">
        <f>HYPERLINK("http://www.twitter.com/NathanBLawrence/status/988450128045359104", "988450128045359104")</f>
        <v/>
      </c>
      <c r="B2802" s="2" t="n">
        <v>43213.67417824074</v>
      </c>
      <c r="C2802" t="n">
        <v>0</v>
      </c>
      <c r="D2802" t="n">
        <v>22096</v>
      </c>
      <c r="E2802" t="s">
        <v>2802</v>
      </c>
      <c r="F2802" t="s"/>
      <c r="G2802" t="s"/>
      <c r="H2802" t="s"/>
      <c r="I2802" t="s"/>
      <c r="J2802" t="n">
        <v>0.6808</v>
      </c>
      <c r="K2802" t="n">
        <v>0</v>
      </c>
      <c r="L2802" t="n">
        <v>0.714</v>
      </c>
      <c r="M2802" t="n">
        <v>0.286</v>
      </c>
    </row>
    <row r="2803" spans="1:13">
      <c r="A2803" s="1">
        <f>HYPERLINK("http://www.twitter.com/NathanBLawrence/status/988450067668385792", "988450067668385792")</f>
        <v/>
      </c>
      <c r="B2803" s="2" t="n">
        <v>43213.6740162037</v>
      </c>
      <c r="C2803" t="n">
        <v>0</v>
      </c>
      <c r="D2803" t="n">
        <v>7574</v>
      </c>
      <c r="E2803" t="s">
        <v>2803</v>
      </c>
      <c r="F2803" t="s"/>
      <c r="G2803" t="s"/>
      <c r="H2803" t="s"/>
      <c r="I2803" t="s"/>
      <c r="J2803" t="n">
        <v>0</v>
      </c>
      <c r="K2803" t="n">
        <v>0</v>
      </c>
      <c r="L2803" t="n">
        <v>1</v>
      </c>
      <c r="M2803" t="n">
        <v>0</v>
      </c>
    </row>
    <row r="2804" spans="1:13">
      <c r="A2804" s="1">
        <f>HYPERLINK("http://www.twitter.com/NathanBLawrence/status/988449772649377793", "988449772649377793")</f>
        <v/>
      </c>
      <c r="B2804" s="2" t="n">
        <v>43213.67319444445</v>
      </c>
      <c r="C2804" t="n">
        <v>0</v>
      </c>
      <c r="D2804" t="n">
        <v>1766</v>
      </c>
      <c r="E2804" t="s">
        <v>2804</v>
      </c>
      <c r="F2804" t="s"/>
      <c r="G2804" t="s"/>
      <c r="H2804" t="s"/>
      <c r="I2804" t="s"/>
      <c r="J2804" t="n">
        <v>-0.5719</v>
      </c>
      <c r="K2804" t="n">
        <v>0.198</v>
      </c>
      <c r="L2804" t="n">
        <v>0.802</v>
      </c>
      <c r="M2804" t="n">
        <v>0</v>
      </c>
    </row>
    <row r="2805" spans="1:13">
      <c r="A2805" s="1">
        <f>HYPERLINK("http://www.twitter.com/NathanBLawrence/status/988296614396727296", "988296614396727296")</f>
        <v/>
      </c>
      <c r="B2805" s="2" t="n">
        <v>43213.25056712963</v>
      </c>
      <c r="C2805" t="n">
        <v>0</v>
      </c>
      <c r="D2805" t="n">
        <v>1610</v>
      </c>
      <c r="E2805" t="s">
        <v>2805</v>
      </c>
      <c r="F2805">
        <f>HYPERLINK("https://video.twimg.com/ext_tw_video/988116439545528321/pu/vid/1280x720/PXmquAxRWJRKHWTF.mp4?tag=3", "https://video.twimg.com/ext_tw_video/988116439545528321/pu/vid/1280x720/PXmquAxRWJRKHWTF.mp4?tag=3")</f>
        <v/>
      </c>
      <c r="G2805" t="s"/>
      <c r="H2805" t="s"/>
      <c r="I2805" t="s"/>
      <c r="J2805" t="n">
        <v>0.5719</v>
      </c>
      <c r="K2805" t="n">
        <v>0</v>
      </c>
      <c r="L2805" t="n">
        <v>0.802</v>
      </c>
      <c r="M2805" t="n">
        <v>0.198</v>
      </c>
    </row>
    <row r="2806" spans="1:13">
      <c r="A2806" s="1">
        <f>HYPERLINK("http://www.twitter.com/NathanBLawrence/status/988295506110636032", "988295506110636032")</f>
        <v/>
      </c>
      <c r="B2806" s="2" t="n">
        <v>43213.2475</v>
      </c>
      <c r="C2806" t="n">
        <v>0</v>
      </c>
      <c r="D2806" t="n">
        <v>20733</v>
      </c>
      <c r="E2806" t="s">
        <v>2806</v>
      </c>
      <c r="F2806" t="s"/>
      <c r="G2806" t="s"/>
      <c r="H2806" t="s"/>
      <c r="I2806" t="s"/>
      <c r="J2806" t="n">
        <v>-0.4753</v>
      </c>
      <c r="K2806" t="n">
        <v>0.14</v>
      </c>
      <c r="L2806" t="n">
        <v>0.86</v>
      </c>
      <c r="M2806" t="n">
        <v>0</v>
      </c>
    </row>
    <row r="2807" spans="1:13">
      <c r="A2807" s="1">
        <f>HYPERLINK("http://www.twitter.com/NathanBLawrence/status/988295357720416257", "988295357720416257")</f>
        <v/>
      </c>
      <c r="B2807" s="2" t="n">
        <v>43213.2470949074</v>
      </c>
      <c r="C2807" t="n">
        <v>0</v>
      </c>
      <c r="D2807" t="n">
        <v>23606</v>
      </c>
      <c r="E2807" t="s">
        <v>2807</v>
      </c>
      <c r="F2807" t="s"/>
      <c r="G2807" t="s"/>
      <c r="H2807" t="s"/>
      <c r="I2807" t="s"/>
      <c r="J2807" t="n">
        <v>0.7645</v>
      </c>
      <c r="K2807" t="n">
        <v>0</v>
      </c>
      <c r="L2807" t="n">
        <v>0.761</v>
      </c>
      <c r="M2807" t="n">
        <v>0.239</v>
      </c>
    </row>
    <row r="2808" spans="1:13">
      <c r="A2808" s="1">
        <f>HYPERLINK("http://www.twitter.com/NathanBLawrence/status/988295254192394246", "988295254192394246")</f>
        <v/>
      </c>
      <c r="B2808" s="2" t="n">
        <v>43213.24680555556</v>
      </c>
      <c r="C2808" t="n">
        <v>0</v>
      </c>
      <c r="D2808" t="n">
        <v>17681</v>
      </c>
      <c r="E2808" t="s">
        <v>2808</v>
      </c>
      <c r="F2808" t="s"/>
      <c r="G2808" t="s"/>
      <c r="H2808" t="s"/>
      <c r="I2808" t="s"/>
      <c r="J2808" t="n">
        <v>0</v>
      </c>
      <c r="K2808" t="n">
        <v>0</v>
      </c>
      <c r="L2808" t="n">
        <v>1</v>
      </c>
      <c r="M2808" t="n">
        <v>0</v>
      </c>
    </row>
    <row r="2809" spans="1:13">
      <c r="A2809" s="1">
        <f>HYPERLINK("http://www.twitter.com/NathanBLawrence/status/988294936377339904", "988294936377339904")</f>
        <v/>
      </c>
      <c r="B2809" s="2" t="n">
        <v>43213.2459375</v>
      </c>
      <c r="C2809" t="n">
        <v>0</v>
      </c>
      <c r="D2809" t="n">
        <v>3695</v>
      </c>
      <c r="E2809" t="s">
        <v>2809</v>
      </c>
      <c r="F2809" t="s"/>
      <c r="G2809" t="s"/>
      <c r="H2809" t="s"/>
      <c r="I2809" t="s"/>
      <c r="J2809" t="n">
        <v>-0.4336</v>
      </c>
      <c r="K2809" t="n">
        <v>0.149</v>
      </c>
      <c r="L2809" t="n">
        <v>0.851</v>
      </c>
      <c r="M2809" t="n">
        <v>0</v>
      </c>
    </row>
    <row r="2810" spans="1:13">
      <c r="A2810" s="1">
        <f>HYPERLINK("http://www.twitter.com/NathanBLawrence/status/988294827900067840", "988294827900067840")</f>
        <v/>
      </c>
      <c r="B2810" s="2" t="n">
        <v>43213.24563657407</v>
      </c>
      <c r="C2810" t="n">
        <v>0</v>
      </c>
      <c r="D2810" t="n">
        <v>587</v>
      </c>
      <c r="E2810" t="s">
        <v>2810</v>
      </c>
      <c r="F2810" t="s"/>
      <c r="G2810" t="s"/>
      <c r="H2810" t="s"/>
      <c r="I2810" t="s"/>
      <c r="J2810" t="n">
        <v>0</v>
      </c>
      <c r="K2810" t="n">
        <v>0</v>
      </c>
      <c r="L2810" t="n">
        <v>1</v>
      </c>
      <c r="M2810" t="n">
        <v>0</v>
      </c>
    </row>
    <row r="2811" spans="1:13">
      <c r="A2811" s="1">
        <f>HYPERLINK("http://www.twitter.com/NathanBLawrence/status/988294570961264640", "988294570961264640")</f>
        <v/>
      </c>
      <c r="B2811" s="2" t="n">
        <v>43213.24491898148</v>
      </c>
      <c r="C2811" t="n">
        <v>0</v>
      </c>
      <c r="D2811" t="n">
        <v>1338</v>
      </c>
      <c r="E2811" t="s">
        <v>2811</v>
      </c>
      <c r="F2811">
        <f>HYPERLINK("http://pbs.twimg.com/media/DbYaciSWkAITOHc.jpg", "http://pbs.twimg.com/media/DbYaciSWkAITOHc.jpg")</f>
        <v/>
      </c>
      <c r="G2811" t="s"/>
      <c r="H2811" t="s"/>
      <c r="I2811" t="s"/>
      <c r="J2811" t="n">
        <v>0.7269</v>
      </c>
      <c r="K2811" t="n">
        <v>0</v>
      </c>
      <c r="L2811" t="n">
        <v>0.757</v>
      </c>
      <c r="M2811" t="n">
        <v>0.243</v>
      </c>
    </row>
    <row r="2812" spans="1:13">
      <c r="A2812" s="1">
        <f>HYPERLINK("http://www.twitter.com/NathanBLawrence/status/988294258623905792", "988294258623905792")</f>
        <v/>
      </c>
      <c r="B2812" s="2" t="n">
        <v>43213.2440625</v>
      </c>
      <c r="C2812" t="n">
        <v>0</v>
      </c>
      <c r="D2812" t="n">
        <v>740</v>
      </c>
      <c r="E2812" t="s">
        <v>2812</v>
      </c>
      <c r="F2812" t="s"/>
      <c r="G2812" t="s"/>
      <c r="H2812" t="s"/>
      <c r="I2812" t="s"/>
      <c r="J2812" t="n">
        <v>0.3802</v>
      </c>
      <c r="K2812" t="n">
        <v>0</v>
      </c>
      <c r="L2812" t="n">
        <v>0.861</v>
      </c>
      <c r="M2812" t="n">
        <v>0.139</v>
      </c>
    </row>
    <row r="2813" spans="1:13">
      <c r="A2813" s="1">
        <f>HYPERLINK("http://www.twitter.com/NathanBLawrence/status/988293829148266497", "988293829148266497")</f>
        <v/>
      </c>
      <c r="B2813" s="2" t="n">
        <v>43213.24288194445</v>
      </c>
      <c r="C2813" t="n">
        <v>0</v>
      </c>
      <c r="D2813" t="n">
        <v>5377</v>
      </c>
      <c r="E2813" t="s">
        <v>2813</v>
      </c>
      <c r="F2813" t="s"/>
      <c r="G2813" t="s"/>
      <c r="H2813" t="s"/>
      <c r="I2813" t="s"/>
      <c r="J2813" t="n">
        <v>0.4391</v>
      </c>
      <c r="K2813" t="n">
        <v>0</v>
      </c>
      <c r="L2813" t="n">
        <v>0.879</v>
      </c>
      <c r="M2813" t="n">
        <v>0.121</v>
      </c>
    </row>
    <row r="2814" spans="1:13">
      <c r="A2814" s="1">
        <f>HYPERLINK("http://www.twitter.com/NathanBLawrence/status/988293669039034368", "988293669039034368")</f>
        <v/>
      </c>
      <c r="B2814" s="2" t="n">
        <v>43213.24243055555</v>
      </c>
      <c r="C2814" t="n">
        <v>0</v>
      </c>
      <c r="D2814" t="n">
        <v>6703</v>
      </c>
      <c r="E2814" t="s">
        <v>2814</v>
      </c>
      <c r="F2814" t="s"/>
      <c r="G2814" t="s"/>
      <c r="H2814" t="s"/>
      <c r="I2814" t="s"/>
      <c r="J2814" t="n">
        <v>-0.7351</v>
      </c>
      <c r="K2814" t="n">
        <v>0.256</v>
      </c>
      <c r="L2814" t="n">
        <v>0.744</v>
      </c>
      <c r="M2814" t="n">
        <v>0</v>
      </c>
    </row>
    <row r="2815" spans="1:13">
      <c r="A2815" s="1">
        <f>HYPERLINK("http://www.twitter.com/NathanBLawrence/status/988293570980433920", "988293570980433920")</f>
        <v/>
      </c>
      <c r="B2815" s="2" t="n">
        <v>43213.24216435185</v>
      </c>
      <c r="C2815" t="n">
        <v>0</v>
      </c>
      <c r="D2815" t="n">
        <v>4750</v>
      </c>
      <c r="E2815" t="s">
        <v>2815</v>
      </c>
      <c r="F2815" t="s"/>
      <c r="G2815" t="s"/>
      <c r="H2815" t="s"/>
      <c r="I2815" t="s"/>
      <c r="J2815" t="n">
        <v>-0.7783</v>
      </c>
      <c r="K2815" t="n">
        <v>0.228</v>
      </c>
      <c r="L2815" t="n">
        <v>0.772</v>
      </c>
      <c r="M2815" t="n">
        <v>0</v>
      </c>
    </row>
    <row r="2816" spans="1:13">
      <c r="A2816" s="1">
        <f>HYPERLINK("http://www.twitter.com/NathanBLawrence/status/988293043592802305", "988293043592802305")</f>
        <v/>
      </c>
      <c r="B2816" s="2" t="n">
        <v>43213.24070601852</v>
      </c>
      <c r="C2816" t="n">
        <v>0</v>
      </c>
      <c r="D2816" t="n">
        <v>2</v>
      </c>
      <c r="E2816" t="s">
        <v>2816</v>
      </c>
      <c r="F2816" t="s"/>
      <c r="G2816" t="s"/>
      <c r="H2816" t="s"/>
      <c r="I2816" t="s"/>
      <c r="J2816" t="n">
        <v>0</v>
      </c>
      <c r="K2816" t="n">
        <v>0</v>
      </c>
      <c r="L2816" t="n">
        <v>1</v>
      </c>
      <c r="M2816" t="n">
        <v>0</v>
      </c>
    </row>
    <row r="2817" spans="1:13">
      <c r="A2817" s="1">
        <f>HYPERLINK("http://www.twitter.com/NathanBLawrence/status/988292862646333440", "988292862646333440")</f>
        <v/>
      </c>
      <c r="B2817" s="2" t="n">
        <v>43213.24020833334</v>
      </c>
      <c r="C2817" t="n">
        <v>0</v>
      </c>
      <c r="D2817" t="n">
        <v>22</v>
      </c>
      <c r="E2817" t="s">
        <v>2817</v>
      </c>
      <c r="F2817">
        <f>HYPERLINK("http://pbs.twimg.com/media/DbZtf-jU8AEYMlp.jpg", "http://pbs.twimg.com/media/DbZtf-jU8AEYMlp.jpg")</f>
        <v/>
      </c>
      <c r="G2817" t="s"/>
      <c r="H2817" t="s"/>
      <c r="I2817" t="s"/>
      <c r="J2817" t="n">
        <v>-0.8070000000000001</v>
      </c>
      <c r="K2817" t="n">
        <v>0.328</v>
      </c>
      <c r="L2817" t="n">
        <v>0.672</v>
      </c>
      <c r="M2817" t="n">
        <v>0</v>
      </c>
    </row>
    <row r="2818" spans="1:13">
      <c r="A2818" s="1">
        <f>HYPERLINK("http://www.twitter.com/NathanBLawrence/status/988271990984163328", "988271990984163328")</f>
        <v/>
      </c>
      <c r="B2818" s="2" t="n">
        <v>43213.18261574074</v>
      </c>
      <c r="C2818" t="n">
        <v>2</v>
      </c>
      <c r="D2818" t="n">
        <v>1</v>
      </c>
      <c r="E2818" t="s">
        <v>2818</v>
      </c>
      <c r="F2818" t="s"/>
      <c r="G2818" t="s"/>
      <c r="H2818" t="s"/>
      <c r="I2818" t="s"/>
      <c r="J2818" t="n">
        <v>0.3818</v>
      </c>
      <c r="K2818" t="n">
        <v>0.126</v>
      </c>
      <c r="L2818" t="n">
        <v>0.6870000000000001</v>
      </c>
      <c r="M2818" t="n">
        <v>0.187</v>
      </c>
    </row>
    <row r="2819" spans="1:13">
      <c r="A2819" s="1">
        <f>HYPERLINK("http://www.twitter.com/NathanBLawrence/status/988191349122842624", "988191349122842624")</f>
        <v/>
      </c>
      <c r="B2819" s="2" t="n">
        <v>43212.96008101852</v>
      </c>
      <c r="C2819" t="n">
        <v>2</v>
      </c>
      <c r="D2819" t="n">
        <v>1</v>
      </c>
      <c r="E2819" t="s">
        <v>2819</v>
      </c>
      <c r="F2819" t="s"/>
      <c r="G2819" t="s"/>
      <c r="H2819" t="s"/>
      <c r="I2819" t="s"/>
      <c r="J2819" t="n">
        <v>0.958</v>
      </c>
      <c r="K2819" t="n">
        <v>0</v>
      </c>
      <c r="L2819" t="n">
        <v>0.548</v>
      </c>
      <c r="M2819" t="n">
        <v>0.452</v>
      </c>
    </row>
    <row r="2820" spans="1:13">
      <c r="A2820" s="1">
        <f>HYPERLINK("http://www.twitter.com/NathanBLawrence/status/988186799267725312", "988186799267725312")</f>
        <v/>
      </c>
      <c r="B2820" s="2" t="n">
        <v>43212.94753472223</v>
      </c>
      <c r="C2820" t="n">
        <v>0</v>
      </c>
      <c r="D2820" t="n">
        <v>1323</v>
      </c>
      <c r="E2820" t="s">
        <v>2820</v>
      </c>
      <c r="F2820" t="s"/>
      <c r="G2820" t="s"/>
      <c r="H2820" t="s"/>
      <c r="I2820" t="s"/>
      <c r="J2820" t="n">
        <v>-0.5266999999999999</v>
      </c>
      <c r="K2820" t="n">
        <v>0.205</v>
      </c>
      <c r="L2820" t="n">
        <v>0.795</v>
      </c>
      <c r="M2820" t="n">
        <v>0</v>
      </c>
    </row>
    <row r="2821" spans="1:13">
      <c r="A2821" s="1">
        <f>HYPERLINK("http://www.twitter.com/NathanBLawrence/status/988186282919526400", "988186282919526400")</f>
        <v/>
      </c>
      <c r="B2821" s="2" t="n">
        <v>43212.94611111111</v>
      </c>
      <c r="C2821" t="n">
        <v>0</v>
      </c>
      <c r="D2821" t="n">
        <v>14705</v>
      </c>
      <c r="E2821" t="s">
        <v>2821</v>
      </c>
      <c r="F2821" t="s"/>
      <c r="G2821" t="s"/>
      <c r="H2821" t="s"/>
      <c r="I2821" t="s"/>
      <c r="J2821" t="n">
        <v>-0.5574</v>
      </c>
      <c r="K2821" t="n">
        <v>0.167</v>
      </c>
      <c r="L2821" t="n">
        <v>0.833</v>
      </c>
      <c r="M2821" t="n">
        <v>0</v>
      </c>
    </row>
    <row r="2822" spans="1:13">
      <c r="A2822" s="1">
        <f>HYPERLINK("http://www.twitter.com/NathanBLawrence/status/987944833477201920", "987944833477201920")</f>
        <v/>
      </c>
      <c r="B2822" s="2" t="n">
        <v>43212.27983796296</v>
      </c>
      <c r="C2822" t="n">
        <v>0</v>
      </c>
      <c r="D2822" t="n">
        <v>5891</v>
      </c>
      <c r="E2822" t="s">
        <v>2822</v>
      </c>
      <c r="F2822" t="s"/>
      <c r="G2822" t="s"/>
      <c r="H2822" t="s"/>
      <c r="I2822" t="s"/>
      <c r="J2822" t="n">
        <v>0.0772</v>
      </c>
      <c r="K2822" t="n">
        <v>0.082</v>
      </c>
      <c r="L2822" t="n">
        <v>0.823</v>
      </c>
      <c r="M2822" t="n">
        <v>0.095</v>
      </c>
    </row>
    <row r="2823" spans="1:13">
      <c r="A2823" s="1">
        <f>HYPERLINK("http://www.twitter.com/NathanBLawrence/status/987944624244355073", "987944624244355073")</f>
        <v/>
      </c>
      <c r="B2823" s="2" t="n">
        <v>43212.27925925926</v>
      </c>
      <c r="C2823" t="n">
        <v>0</v>
      </c>
      <c r="D2823" t="n">
        <v>7077</v>
      </c>
      <c r="E2823" t="s">
        <v>2823</v>
      </c>
      <c r="F2823" t="s"/>
      <c r="G2823" t="s"/>
      <c r="H2823" t="s"/>
      <c r="I2823" t="s"/>
      <c r="J2823" t="n">
        <v>0.6705</v>
      </c>
      <c r="K2823" t="n">
        <v>0</v>
      </c>
      <c r="L2823" t="n">
        <v>0.83</v>
      </c>
      <c r="M2823" t="n">
        <v>0.17</v>
      </c>
    </row>
    <row r="2824" spans="1:13">
      <c r="A2824" s="1">
        <f>HYPERLINK("http://www.twitter.com/NathanBLawrence/status/987944193497731072", "987944193497731072")</f>
        <v/>
      </c>
      <c r="B2824" s="2" t="n">
        <v>43212.27806712963</v>
      </c>
      <c r="C2824" t="n">
        <v>0</v>
      </c>
      <c r="D2824" t="n">
        <v>7378</v>
      </c>
      <c r="E2824" t="s">
        <v>2824</v>
      </c>
      <c r="F2824" t="s"/>
      <c r="G2824" t="s"/>
      <c r="H2824" t="s"/>
      <c r="I2824" t="s"/>
      <c r="J2824" t="n">
        <v>-0.2244</v>
      </c>
      <c r="K2824" t="n">
        <v>0.182</v>
      </c>
      <c r="L2824" t="n">
        <v>0.702</v>
      </c>
      <c r="M2824" t="n">
        <v>0.116</v>
      </c>
    </row>
    <row r="2825" spans="1:13">
      <c r="A2825" s="1">
        <f>HYPERLINK("http://www.twitter.com/NathanBLawrence/status/987944056629157890", "987944056629157890")</f>
        <v/>
      </c>
      <c r="B2825" s="2" t="n">
        <v>43212.27768518519</v>
      </c>
      <c r="C2825" t="n">
        <v>0</v>
      </c>
      <c r="D2825" t="n">
        <v>2966</v>
      </c>
      <c r="E2825" t="s">
        <v>2825</v>
      </c>
      <c r="F2825" t="s"/>
      <c r="G2825" t="s"/>
      <c r="H2825" t="s"/>
      <c r="I2825" t="s"/>
      <c r="J2825" t="n">
        <v>-0.2876</v>
      </c>
      <c r="K2825" t="n">
        <v>0.274</v>
      </c>
      <c r="L2825" t="n">
        <v>0.52</v>
      </c>
      <c r="M2825" t="n">
        <v>0.207</v>
      </c>
    </row>
    <row r="2826" spans="1:13">
      <c r="A2826" s="1">
        <f>HYPERLINK("http://www.twitter.com/NathanBLawrence/status/987943782753632257", "987943782753632257")</f>
        <v/>
      </c>
      <c r="B2826" s="2" t="n">
        <v>43212.27693287037</v>
      </c>
      <c r="C2826" t="n">
        <v>0</v>
      </c>
      <c r="D2826" t="n">
        <v>1016</v>
      </c>
      <c r="E2826" t="s">
        <v>2826</v>
      </c>
      <c r="F2826">
        <f>HYPERLINK("http://pbs.twimg.com/media/DbXHdaNUQAARA5T.jpg", "http://pbs.twimg.com/media/DbXHdaNUQAARA5T.jpg")</f>
        <v/>
      </c>
      <c r="G2826" t="s"/>
      <c r="H2826" t="s"/>
      <c r="I2826" t="s"/>
      <c r="J2826" t="n">
        <v>0.1511</v>
      </c>
      <c r="K2826" t="n">
        <v>0.083</v>
      </c>
      <c r="L2826" t="n">
        <v>0.8080000000000001</v>
      </c>
      <c r="M2826" t="n">
        <v>0.109</v>
      </c>
    </row>
    <row r="2827" spans="1:13">
      <c r="A2827" s="1">
        <f>HYPERLINK("http://www.twitter.com/NathanBLawrence/status/987943486019207173", "987943486019207173")</f>
        <v/>
      </c>
      <c r="B2827" s="2" t="n">
        <v>43212.27611111111</v>
      </c>
      <c r="C2827" t="n">
        <v>0</v>
      </c>
      <c r="D2827" t="n">
        <v>574</v>
      </c>
      <c r="E2827" t="s">
        <v>2827</v>
      </c>
      <c r="F2827" t="s"/>
      <c r="G2827" t="s"/>
      <c r="H2827" t="s"/>
      <c r="I2827" t="s"/>
      <c r="J2827" t="n">
        <v>0.4939</v>
      </c>
      <c r="K2827" t="n">
        <v>0.073</v>
      </c>
      <c r="L2827" t="n">
        <v>0.731</v>
      </c>
      <c r="M2827" t="n">
        <v>0.196</v>
      </c>
    </row>
    <row r="2828" spans="1:13">
      <c r="A2828" s="1">
        <f>HYPERLINK("http://www.twitter.com/NathanBLawrence/status/987943210831044613", "987943210831044613")</f>
        <v/>
      </c>
      <c r="B2828" s="2" t="n">
        <v>43212.27535879629</v>
      </c>
      <c r="C2828" t="n">
        <v>0</v>
      </c>
      <c r="D2828" t="n">
        <v>23</v>
      </c>
      <c r="E2828" t="s">
        <v>2828</v>
      </c>
      <c r="F2828" t="s"/>
      <c r="G2828" t="s"/>
      <c r="H2828" t="s"/>
      <c r="I2828" t="s"/>
      <c r="J2828" t="n">
        <v>-0.3885</v>
      </c>
      <c r="K2828" t="n">
        <v>0.184</v>
      </c>
      <c r="L2828" t="n">
        <v>0.742</v>
      </c>
      <c r="M2828" t="n">
        <v>0.074</v>
      </c>
    </row>
    <row r="2829" spans="1:13">
      <c r="A2829" s="1">
        <f>HYPERLINK("http://www.twitter.com/NathanBLawrence/status/987943143134900224", "987943143134900224")</f>
        <v/>
      </c>
      <c r="B2829" s="2" t="n">
        <v>43212.27517361111</v>
      </c>
      <c r="C2829" t="n">
        <v>0</v>
      </c>
      <c r="D2829" t="n">
        <v>278</v>
      </c>
      <c r="E2829" t="s">
        <v>2829</v>
      </c>
      <c r="F2829" t="s"/>
      <c r="G2829" t="s"/>
      <c r="H2829" t="s"/>
      <c r="I2829" t="s"/>
      <c r="J2829" t="n">
        <v>-0.5106000000000001</v>
      </c>
      <c r="K2829" t="n">
        <v>0.216</v>
      </c>
      <c r="L2829" t="n">
        <v>0.784</v>
      </c>
      <c r="M2829" t="n">
        <v>0</v>
      </c>
    </row>
    <row r="2830" spans="1:13">
      <c r="A2830" s="1">
        <f>HYPERLINK("http://www.twitter.com/NathanBLawrence/status/987942597061685249", "987942597061685249")</f>
        <v/>
      </c>
      <c r="B2830" s="2" t="n">
        <v>43212.27365740741</v>
      </c>
      <c r="C2830" t="n">
        <v>0</v>
      </c>
      <c r="D2830" t="n">
        <v>1800</v>
      </c>
      <c r="E2830" t="s">
        <v>2830</v>
      </c>
      <c r="F2830" t="s"/>
      <c r="G2830" t="s"/>
      <c r="H2830" t="s"/>
      <c r="I2830" t="s"/>
      <c r="J2830" t="n">
        <v>0</v>
      </c>
      <c r="K2830" t="n">
        <v>0</v>
      </c>
      <c r="L2830" t="n">
        <v>1</v>
      </c>
      <c r="M2830" t="n">
        <v>0</v>
      </c>
    </row>
    <row r="2831" spans="1:13">
      <c r="A2831" s="1">
        <f>HYPERLINK("http://www.twitter.com/NathanBLawrence/status/987942352466644992", "987942352466644992")</f>
        <v/>
      </c>
      <c r="B2831" s="2" t="n">
        <v>43212.27298611111</v>
      </c>
      <c r="C2831" t="n">
        <v>0</v>
      </c>
      <c r="D2831" t="n">
        <v>0</v>
      </c>
      <c r="E2831" t="s">
        <v>2831</v>
      </c>
      <c r="F2831" t="s"/>
      <c r="G2831" t="s"/>
      <c r="H2831" t="s"/>
      <c r="I2831" t="s"/>
      <c r="J2831" t="n">
        <v>-0.4588</v>
      </c>
      <c r="K2831" t="n">
        <v>0.2</v>
      </c>
      <c r="L2831" t="n">
        <v>0.8</v>
      </c>
      <c r="M2831" t="n">
        <v>0</v>
      </c>
    </row>
    <row r="2832" spans="1:13">
      <c r="A2832" s="1">
        <f>HYPERLINK("http://www.twitter.com/NathanBLawrence/status/987941082846638080", "987941082846638080")</f>
        <v/>
      </c>
      <c r="B2832" s="2" t="n">
        <v>43212.26947916667</v>
      </c>
      <c r="C2832" t="n">
        <v>0</v>
      </c>
      <c r="D2832" t="n">
        <v>480</v>
      </c>
      <c r="E2832" t="s">
        <v>2832</v>
      </c>
      <c r="F2832">
        <f>HYPERLINK("http://pbs.twimg.com/media/DbVzoPGVQAAHidH.jpg", "http://pbs.twimg.com/media/DbVzoPGVQAAHidH.jpg")</f>
        <v/>
      </c>
      <c r="G2832" t="s"/>
      <c r="H2832" t="s"/>
      <c r="I2832" t="s"/>
      <c r="J2832" t="n">
        <v>0</v>
      </c>
      <c r="K2832" t="n">
        <v>0</v>
      </c>
      <c r="L2832" t="n">
        <v>1</v>
      </c>
      <c r="M2832" t="n">
        <v>0</v>
      </c>
    </row>
    <row r="2833" spans="1:13">
      <c r="A2833" s="1">
        <f>HYPERLINK("http://www.twitter.com/NathanBLawrence/status/987941044582060033", "987941044582060033")</f>
        <v/>
      </c>
      <c r="B2833" s="2" t="n">
        <v>43212.269375</v>
      </c>
      <c r="C2833" t="n">
        <v>0</v>
      </c>
      <c r="D2833" t="n">
        <v>801</v>
      </c>
      <c r="E2833" t="s">
        <v>2833</v>
      </c>
      <c r="F2833" t="s"/>
      <c r="G2833" t="s"/>
      <c r="H2833" t="s"/>
      <c r="I2833" t="s"/>
      <c r="J2833" t="n">
        <v>-0.6841</v>
      </c>
      <c r="K2833" t="n">
        <v>0.19</v>
      </c>
      <c r="L2833" t="n">
        <v>0.8100000000000001</v>
      </c>
      <c r="M2833" t="n">
        <v>0</v>
      </c>
    </row>
    <row r="2834" spans="1:13">
      <c r="A2834" s="1">
        <f>HYPERLINK("http://www.twitter.com/NathanBLawrence/status/987940627299127296", "987940627299127296")</f>
        <v/>
      </c>
      <c r="B2834" s="2" t="n">
        <v>43212.26822916666</v>
      </c>
      <c r="C2834" t="n">
        <v>0</v>
      </c>
      <c r="D2834" t="n">
        <v>4581</v>
      </c>
      <c r="E2834" t="s">
        <v>2834</v>
      </c>
      <c r="F2834">
        <f>HYPERLINK("https://video.twimg.com/amplify_video/987863638659817474/vid/1280x720/llQFfeoWcn8H0XVx.mp4?tag=2", "https://video.twimg.com/amplify_video/987863638659817474/vid/1280x720/llQFfeoWcn8H0XVx.mp4?tag=2")</f>
        <v/>
      </c>
      <c r="G2834" t="s"/>
      <c r="H2834" t="s"/>
      <c r="I2834" t="s"/>
      <c r="J2834" t="n">
        <v>-0.885</v>
      </c>
      <c r="K2834" t="n">
        <v>0.379</v>
      </c>
      <c r="L2834" t="n">
        <v>0.621</v>
      </c>
      <c r="M2834" t="n">
        <v>0</v>
      </c>
    </row>
    <row r="2835" spans="1:13">
      <c r="A2835" s="1">
        <f>HYPERLINK("http://www.twitter.com/NathanBLawrence/status/987940270246424578", "987940270246424578")</f>
        <v/>
      </c>
      <c r="B2835" s="2" t="n">
        <v>43212.26724537037</v>
      </c>
      <c r="C2835" t="n">
        <v>0</v>
      </c>
      <c r="D2835" t="n">
        <v>254</v>
      </c>
      <c r="E2835" t="s">
        <v>2835</v>
      </c>
      <c r="F2835">
        <f>HYPERLINK("http://pbs.twimg.com/media/DbWU-2_U0AAOoM-.jpg", "http://pbs.twimg.com/media/DbWU-2_U0AAOoM-.jpg")</f>
        <v/>
      </c>
      <c r="G2835" t="s"/>
      <c r="H2835" t="s"/>
      <c r="I2835" t="s"/>
      <c r="J2835" t="n">
        <v>-0.2732</v>
      </c>
      <c r="K2835" t="n">
        <v>0.08699999999999999</v>
      </c>
      <c r="L2835" t="n">
        <v>0.913</v>
      </c>
      <c r="M2835" t="n">
        <v>0</v>
      </c>
    </row>
    <row r="2836" spans="1:13">
      <c r="A2836" s="1">
        <f>HYPERLINK("http://www.twitter.com/NathanBLawrence/status/987940112989376512", "987940112989376512")</f>
        <v/>
      </c>
      <c r="B2836" s="2" t="n">
        <v>43212.26680555556</v>
      </c>
      <c r="C2836" t="n">
        <v>0</v>
      </c>
      <c r="D2836" t="n">
        <v>102</v>
      </c>
      <c r="E2836" t="s">
        <v>2836</v>
      </c>
      <c r="F2836">
        <f>HYPERLINK("http://pbs.twimg.com/media/DbWAqyYU0AAGbA7.jpg", "http://pbs.twimg.com/media/DbWAqyYU0AAGbA7.jpg")</f>
        <v/>
      </c>
      <c r="G2836" t="s"/>
      <c r="H2836" t="s"/>
      <c r="I2836" t="s"/>
      <c r="J2836" t="n">
        <v>0</v>
      </c>
      <c r="K2836" t="n">
        <v>0</v>
      </c>
      <c r="L2836" t="n">
        <v>1</v>
      </c>
      <c r="M2836" t="n">
        <v>0</v>
      </c>
    </row>
    <row r="2837" spans="1:13">
      <c r="A2837" s="1">
        <f>HYPERLINK("http://www.twitter.com/NathanBLawrence/status/987940050234167296", "987940050234167296")</f>
        <v/>
      </c>
      <c r="B2837" s="2" t="n">
        <v>43212.26663194445</v>
      </c>
      <c r="C2837" t="n">
        <v>0</v>
      </c>
      <c r="D2837" t="n">
        <v>1457</v>
      </c>
      <c r="E2837" t="s">
        <v>2837</v>
      </c>
      <c r="F2837">
        <f>HYPERLINK("http://pbs.twimg.com/media/DbVrKyRVMAA5Joj.jpg", "http://pbs.twimg.com/media/DbVrKyRVMAA5Joj.jpg")</f>
        <v/>
      </c>
      <c r="G2837" t="s"/>
      <c r="H2837" t="s"/>
      <c r="I2837" t="s"/>
      <c r="J2837" t="n">
        <v>0.7262999999999999</v>
      </c>
      <c r="K2837" t="n">
        <v>0.074</v>
      </c>
      <c r="L2837" t="n">
        <v>0.664</v>
      </c>
      <c r="M2837" t="n">
        <v>0.262</v>
      </c>
    </row>
    <row r="2838" spans="1:13">
      <c r="A2838" s="1">
        <f>HYPERLINK("http://www.twitter.com/NathanBLawrence/status/987939938971848704", "987939938971848704")</f>
        <v/>
      </c>
      <c r="B2838" s="2" t="n">
        <v>43212.26633101852</v>
      </c>
      <c r="C2838" t="n">
        <v>0</v>
      </c>
      <c r="D2838" t="n">
        <v>534</v>
      </c>
      <c r="E2838" t="s">
        <v>2838</v>
      </c>
      <c r="F2838" t="s"/>
      <c r="G2838" t="s"/>
      <c r="H2838" t="s"/>
      <c r="I2838" t="s"/>
      <c r="J2838" t="n">
        <v>0.7959000000000001</v>
      </c>
      <c r="K2838" t="n">
        <v>0</v>
      </c>
      <c r="L2838" t="n">
        <v>0.706</v>
      </c>
      <c r="M2838" t="n">
        <v>0.294</v>
      </c>
    </row>
    <row r="2839" spans="1:13">
      <c r="A2839" s="1">
        <f>HYPERLINK("http://www.twitter.com/NathanBLawrence/status/987939875369422849", "987939875369422849")</f>
        <v/>
      </c>
      <c r="B2839" s="2" t="n">
        <v>43212.26614583333</v>
      </c>
      <c r="C2839" t="n">
        <v>0</v>
      </c>
      <c r="D2839" t="n">
        <v>851</v>
      </c>
      <c r="E2839" t="s">
        <v>2839</v>
      </c>
      <c r="F2839" t="s"/>
      <c r="G2839" t="s"/>
      <c r="H2839" t="s"/>
      <c r="I2839" t="s"/>
      <c r="J2839" t="n">
        <v>-0.8725000000000001</v>
      </c>
      <c r="K2839" t="n">
        <v>0.331</v>
      </c>
      <c r="L2839" t="n">
        <v>0.669</v>
      </c>
      <c r="M2839" t="n">
        <v>0</v>
      </c>
    </row>
    <row r="2840" spans="1:13">
      <c r="A2840" s="1">
        <f>HYPERLINK("http://www.twitter.com/NathanBLawrence/status/987939768163028992", "987939768163028992")</f>
        <v/>
      </c>
      <c r="B2840" s="2" t="n">
        <v>43212.26585648148</v>
      </c>
      <c r="C2840" t="n">
        <v>0</v>
      </c>
      <c r="D2840" t="n">
        <v>147</v>
      </c>
      <c r="E2840" t="s">
        <v>2840</v>
      </c>
      <c r="F2840">
        <f>HYPERLINK("http://pbs.twimg.com/media/DbV_dk5WkAA6FoL.jpg", "http://pbs.twimg.com/media/DbV_dk5WkAA6FoL.jpg")</f>
        <v/>
      </c>
      <c r="G2840" t="s"/>
      <c r="H2840" t="s"/>
      <c r="I2840" t="s"/>
      <c r="J2840" t="n">
        <v>0.5696</v>
      </c>
      <c r="K2840" t="n">
        <v>0</v>
      </c>
      <c r="L2840" t="n">
        <v>0.77</v>
      </c>
      <c r="M2840" t="n">
        <v>0.23</v>
      </c>
    </row>
    <row r="2841" spans="1:13">
      <c r="A2841" s="1">
        <f>HYPERLINK("http://www.twitter.com/NathanBLawrence/status/987939582116319232", "987939582116319232")</f>
        <v/>
      </c>
      <c r="B2841" s="2" t="n">
        <v>43212.26534722222</v>
      </c>
      <c r="C2841" t="n">
        <v>0</v>
      </c>
      <c r="D2841" t="n">
        <v>251</v>
      </c>
      <c r="E2841" t="s">
        <v>2841</v>
      </c>
      <c r="F2841" t="s"/>
      <c r="G2841" t="s"/>
      <c r="H2841" t="s"/>
      <c r="I2841" t="s"/>
      <c r="J2841" t="n">
        <v>0</v>
      </c>
      <c r="K2841" t="n">
        <v>0</v>
      </c>
      <c r="L2841" t="n">
        <v>1</v>
      </c>
      <c r="M2841" t="n">
        <v>0</v>
      </c>
    </row>
    <row r="2842" spans="1:13">
      <c r="A2842" s="1">
        <f>HYPERLINK("http://www.twitter.com/NathanBLawrence/status/987939517750546432", "987939517750546432")</f>
        <v/>
      </c>
      <c r="B2842" s="2" t="n">
        <v>43212.26516203704</v>
      </c>
      <c r="C2842" t="n">
        <v>0</v>
      </c>
      <c r="D2842" t="n">
        <v>2444</v>
      </c>
      <c r="E2842" t="s">
        <v>2842</v>
      </c>
      <c r="F2842" t="s"/>
      <c r="G2842" t="s"/>
      <c r="H2842" t="s"/>
      <c r="I2842" t="s"/>
      <c r="J2842" t="n">
        <v>0.4019</v>
      </c>
      <c r="K2842" t="n">
        <v>0</v>
      </c>
      <c r="L2842" t="n">
        <v>0.891</v>
      </c>
      <c r="M2842" t="n">
        <v>0.109</v>
      </c>
    </row>
    <row r="2843" spans="1:13">
      <c r="A2843" s="1">
        <f>HYPERLINK("http://www.twitter.com/NathanBLawrence/status/987939401144684544", "987939401144684544")</f>
        <v/>
      </c>
      <c r="B2843" s="2" t="n">
        <v>43212.26483796296</v>
      </c>
      <c r="C2843" t="n">
        <v>0</v>
      </c>
      <c r="D2843" t="n">
        <v>222</v>
      </c>
      <c r="E2843" t="s">
        <v>2843</v>
      </c>
      <c r="F2843">
        <f>HYPERLINK("http://pbs.twimg.com/media/DbWUK1AVMAAtHdB.jpg", "http://pbs.twimg.com/media/DbWUK1AVMAAtHdB.jpg")</f>
        <v/>
      </c>
      <c r="G2843" t="s"/>
      <c r="H2843" t="s"/>
      <c r="I2843" t="s"/>
      <c r="J2843" t="n">
        <v>-0.2263</v>
      </c>
      <c r="K2843" t="n">
        <v>0.08699999999999999</v>
      </c>
      <c r="L2843" t="n">
        <v>0.913</v>
      </c>
      <c r="M2843" t="n">
        <v>0</v>
      </c>
    </row>
    <row r="2844" spans="1:13">
      <c r="A2844" s="1">
        <f>HYPERLINK("http://www.twitter.com/NathanBLawrence/status/987939339232534529", "987939339232534529")</f>
        <v/>
      </c>
      <c r="B2844" s="2" t="n">
        <v>43212.26467592592</v>
      </c>
      <c r="C2844" t="n">
        <v>0</v>
      </c>
      <c r="D2844" t="n">
        <v>1904</v>
      </c>
      <c r="E2844" t="s">
        <v>2844</v>
      </c>
      <c r="F2844">
        <f>HYPERLINK("http://pbs.twimg.com/media/DbVpgs3U8AAtfCi.jpg", "http://pbs.twimg.com/media/DbVpgs3U8AAtfCi.jpg")</f>
        <v/>
      </c>
      <c r="G2844" t="s"/>
      <c r="H2844" t="s"/>
      <c r="I2844" t="s"/>
      <c r="J2844" t="n">
        <v>0.1027</v>
      </c>
      <c r="K2844" t="n">
        <v>0.276</v>
      </c>
      <c r="L2844" t="n">
        <v>0.395</v>
      </c>
      <c r="M2844" t="n">
        <v>0.329</v>
      </c>
    </row>
    <row r="2845" spans="1:13">
      <c r="A2845" s="1">
        <f>HYPERLINK("http://www.twitter.com/NathanBLawrence/status/987939276993253377", "987939276993253377")</f>
        <v/>
      </c>
      <c r="B2845" s="2" t="n">
        <v>43212.26450231481</v>
      </c>
      <c r="C2845" t="n">
        <v>0</v>
      </c>
      <c r="D2845" t="n">
        <v>1038</v>
      </c>
      <c r="E2845" t="s">
        <v>2845</v>
      </c>
      <c r="F2845">
        <f>HYPERLINK("http://pbs.twimg.com/media/DbWF3m4WAAEHxRB.jpg", "http://pbs.twimg.com/media/DbWF3m4WAAEHxRB.jpg")</f>
        <v/>
      </c>
      <c r="G2845" t="s"/>
      <c r="H2845" t="s"/>
      <c r="I2845" t="s"/>
      <c r="J2845" t="n">
        <v>0</v>
      </c>
      <c r="K2845" t="n">
        <v>0</v>
      </c>
      <c r="L2845" t="n">
        <v>1</v>
      </c>
      <c r="M2845" t="n">
        <v>0</v>
      </c>
    </row>
    <row r="2846" spans="1:13">
      <c r="A2846" s="1">
        <f>HYPERLINK("http://www.twitter.com/NathanBLawrence/status/987939183770701829", "987939183770701829")</f>
        <v/>
      </c>
      <c r="B2846" s="2" t="n">
        <v>43212.26424768518</v>
      </c>
      <c r="C2846" t="n">
        <v>0</v>
      </c>
      <c r="D2846" t="n">
        <v>279</v>
      </c>
      <c r="E2846" t="s">
        <v>2846</v>
      </c>
      <c r="F2846" t="s"/>
      <c r="G2846" t="s"/>
      <c r="H2846" t="s"/>
      <c r="I2846" t="s"/>
      <c r="J2846" t="n">
        <v>0</v>
      </c>
      <c r="K2846" t="n">
        <v>0</v>
      </c>
      <c r="L2846" t="n">
        <v>1</v>
      </c>
      <c r="M2846" t="n">
        <v>0</v>
      </c>
    </row>
    <row r="2847" spans="1:13">
      <c r="A2847" s="1">
        <f>HYPERLINK("http://www.twitter.com/NathanBLawrence/status/987939141408215040", "987939141408215040")</f>
        <v/>
      </c>
      <c r="B2847" s="2" t="n">
        <v>43212.26412037037</v>
      </c>
      <c r="C2847" t="n">
        <v>0</v>
      </c>
      <c r="D2847" t="n">
        <v>365</v>
      </c>
      <c r="E2847" t="s">
        <v>2847</v>
      </c>
      <c r="F2847" t="s"/>
      <c r="G2847" t="s"/>
      <c r="H2847" t="s"/>
      <c r="I2847" t="s"/>
      <c r="J2847" t="n">
        <v>-0.5965</v>
      </c>
      <c r="K2847" t="n">
        <v>0.245</v>
      </c>
      <c r="L2847" t="n">
        <v>0.755</v>
      </c>
      <c r="M2847" t="n">
        <v>0</v>
      </c>
    </row>
    <row r="2848" spans="1:13">
      <c r="A2848" s="1">
        <f>HYPERLINK("http://www.twitter.com/NathanBLawrence/status/987939056448401413", "987939056448401413")</f>
        <v/>
      </c>
      <c r="B2848" s="2" t="n">
        <v>43212.26388888889</v>
      </c>
      <c r="C2848" t="n">
        <v>0</v>
      </c>
      <c r="D2848" t="n">
        <v>31</v>
      </c>
      <c r="E2848" t="s">
        <v>2848</v>
      </c>
      <c r="F2848" t="s"/>
      <c r="G2848" t="s"/>
      <c r="H2848" t="s"/>
      <c r="I2848" t="s"/>
      <c r="J2848" t="n">
        <v>-0.6705</v>
      </c>
      <c r="K2848" t="n">
        <v>0.2</v>
      </c>
      <c r="L2848" t="n">
        <v>0.8</v>
      </c>
      <c r="M2848" t="n">
        <v>0</v>
      </c>
    </row>
    <row r="2849" spans="1:13">
      <c r="A2849" s="1">
        <f>HYPERLINK("http://www.twitter.com/NathanBLawrence/status/987938895751938048", "987938895751938048")</f>
        <v/>
      </c>
      <c r="B2849" s="2" t="n">
        <v>43212.26344907407</v>
      </c>
      <c r="C2849" t="n">
        <v>0</v>
      </c>
      <c r="D2849" t="n">
        <v>298</v>
      </c>
      <c r="E2849" t="s">
        <v>2849</v>
      </c>
      <c r="F2849">
        <f>HYPERLINK("http://pbs.twimg.com/media/DbVqCRkUQAAe5nd.jpg", "http://pbs.twimg.com/media/DbVqCRkUQAAe5nd.jpg")</f>
        <v/>
      </c>
      <c r="G2849" t="s"/>
      <c r="H2849" t="s"/>
      <c r="I2849" t="s"/>
      <c r="J2849" t="n">
        <v>-0.5423</v>
      </c>
      <c r="K2849" t="n">
        <v>0.119</v>
      </c>
      <c r="L2849" t="n">
        <v>0.881</v>
      </c>
      <c r="M2849" t="n">
        <v>0</v>
      </c>
    </row>
    <row r="2850" spans="1:13">
      <c r="A2850" s="1">
        <f>HYPERLINK("http://www.twitter.com/NathanBLawrence/status/987938831566548992", "987938831566548992")</f>
        <v/>
      </c>
      <c r="B2850" s="2" t="n">
        <v>43212.26327546296</v>
      </c>
      <c r="C2850" t="n">
        <v>0</v>
      </c>
      <c r="D2850" t="n">
        <v>119</v>
      </c>
      <c r="E2850" t="s">
        <v>2850</v>
      </c>
      <c r="F2850">
        <f>HYPERLINK("http://pbs.twimg.com/media/DbVsvfXV4AA2cPh.jpg", "http://pbs.twimg.com/media/DbVsvfXV4AA2cPh.jpg")</f>
        <v/>
      </c>
      <c r="G2850" t="s"/>
      <c r="H2850" t="s"/>
      <c r="I2850" t="s"/>
      <c r="J2850" t="n">
        <v>0</v>
      </c>
      <c r="K2850" t="n">
        <v>0</v>
      </c>
      <c r="L2850" t="n">
        <v>1</v>
      </c>
      <c r="M2850" t="n">
        <v>0</v>
      </c>
    </row>
    <row r="2851" spans="1:13">
      <c r="A2851" s="1">
        <f>HYPERLINK("http://www.twitter.com/NathanBLawrence/status/987938299368083456", "987938299368083456")</f>
        <v/>
      </c>
      <c r="B2851" s="2" t="n">
        <v>43212.26180555556</v>
      </c>
      <c r="C2851" t="n">
        <v>0</v>
      </c>
      <c r="D2851" t="n">
        <v>7819</v>
      </c>
      <c r="E2851" t="s">
        <v>2851</v>
      </c>
      <c r="F2851" t="s"/>
      <c r="G2851" t="s"/>
      <c r="H2851" t="s"/>
      <c r="I2851" t="s"/>
      <c r="J2851" t="n">
        <v>-0.25</v>
      </c>
      <c r="K2851" t="n">
        <v>0.137</v>
      </c>
      <c r="L2851" t="n">
        <v>0.763</v>
      </c>
      <c r="M2851" t="n">
        <v>0.099</v>
      </c>
    </row>
    <row r="2852" spans="1:13">
      <c r="A2852" s="1">
        <f>HYPERLINK("http://www.twitter.com/NathanBLawrence/status/987938099572461568", "987938099572461568")</f>
        <v/>
      </c>
      <c r="B2852" s="2" t="n">
        <v>43212.26125</v>
      </c>
      <c r="C2852" t="n">
        <v>0</v>
      </c>
      <c r="D2852" t="n">
        <v>96</v>
      </c>
      <c r="E2852" t="s">
        <v>2852</v>
      </c>
      <c r="F2852">
        <f>HYPERLINK("http://pbs.twimg.com/media/DbWUb4DV0AAvwKY.jpg", "http://pbs.twimg.com/media/DbWUb4DV0AAvwKY.jpg")</f>
        <v/>
      </c>
      <c r="G2852" t="s"/>
      <c r="H2852" t="s"/>
      <c r="I2852" t="s"/>
      <c r="J2852" t="n">
        <v>0</v>
      </c>
      <c r="K2852" t="n">
        <v>0</v>
      </c>
      <c r="L2852" t="n">
        <v>1</v>
      </c>
      <c r="M2852" t="n">
        <v>0</v>
      </c>
    </row>
    <row r="2853" spans="1:13">
      <c r="A2853" s="1">
        <f>HYPERLINK("http://www.twitter.com/NathanBLawrence/status/987938024620285952", "987938024620285952")</f>
        <v/>
      </c>
      <c r="B2853" s="2" t="n">
        <v>43212.26104166666</v>
      </c>
      <c r="C2853" t="n">
        <v>0</v>
      </c>
      <c r="D2853" t="n">
        <v>169</v>
      </c>
      <c r="E2853" t="s">
        <v>2853</v>
      </c>
      <c r="F2853" t="s"/>
      <c r="G2853" t="s"/>
      <c r="H2853" t="s"/>
      <c r="I2853" t="s"/>
      <c r="J2853" t="n">
        <v>-0.3818</v>
      </c>
      <c r="K2853" t="n">
        <v>0.094</v>
      </c>
      <c r="L2853" t="n">
        <v>0.906</v>
      </c>
      <c r="M2853" t="n">
        <v>0</v>
      </c>
    </row>
    <row r="2854" spans="1:13">
      <c r="A2854" s="1">
        <f>HYPERLINK("http://www.twitter.com/NathanBLawrence/status/987937832776929280", "987937832776929280")</f>
        <v/>
      </c>
      <c r="B2854" s="2" t="n">
        <v>43212.26050925926</v>
      </c>
      <c r="C2854" t="n">
        <v>0</v>
      </c>
      <c r="D2854" t="n">
        <v>109</v>
      </c>
      <c r="E2854" t="s">
        <v>2854</v>
      </c>
      <c r="F2854" t="s"/>
      <c r="G2854" t="s"/>
      <c r="H2854" t="s"/>
      <c r="I2854" t="s"/>
      <c r="J2854" t="n">
        <v>0.6249</v>
      </c>
      <c r="K2854" t="n">
        <v>0</v>
      </c>
      <c r="L2854" t="n">
        <v>0.769</v>
      </c>
      <c r="M2854" t="n">
        <v>0.231</v>
      </c>
    </row>
    <row r="2855" spans="1:13">
      <c r="A2855" s="1">
        <f>HYPERLINK("http://www.twitter.com/NathanBLawrence/status/987937666057621504", "987937666057621504")</f>
        <v/>
      </c>
      <c r="B2855" s="2" t="n">
        <v>43212.26005787037</v>
      </c>
      <c r="C2855" t="n">
        <v>0</v>
      </c>
      <c r="D2855" t="n">
        <v>175</v>
      </c>
      <c r="E2855" t="s">
        <v>2855</v>
      </c>
      <c r="F2855">
        <f>HYPERLINK("http://pbs.twimg.com/media/DbVyFRtX0AA9sqI.jpg", "http://pbs.twimg.com/media/DbVyFRtX0AA9sqI.jpg")</f>
        <v/>
      </c>
      <c r="G2855" t="s"/>
      <c r="H2855" t="s"/>
      <c r="I2855" t="s"/>
      <c r="J2855" t="n">
        <v>0</v>
      </c>
      <c r="K2855" t="n">
        <v>0</v>
      </c>
      <c r="L2855" t="n">
        <v>1</v>
      </c>
      <c r="M2855" t="n">
        <v>0</v>
      </c>
    </row>
    <row r="2856" spans="1:13">
      <c r="A2856" s="1">
        <f>HYPERLINK("http://www.twitter.com/NathanBLawrence/status/987937636118560768", "987937636118560768")</f>
        <v/>
      </c>
      <c r="B2856" s="2" t="n">
        <v>43212.25997685185</v>
      </c>
      <c r="C2856" t="n">
        <v>0</v>
      </c>
      <c r="D2856" t="n">
        <v>1536</v>
      </c>
      <c r="E2856" t="s">
        <v>2856</v>
      </c>
      <c r="F2856" t="s"/>
      <c r="G2856" t="s"/>
      <c r="H2856" t="s"/>
      <c r="I2856" t="s"/>
      <c r="J2856" t="n">
        <v>-0.4019</v>
      </c>
      <c r="K2856" t="n">
        <v>0.105</v>
      </c>
      <c r="L2856" t="n">
        <v>0.895</v>
      </c>
      <c r="M2856" t="n">
        <v>0</v>
      </c>
    </row>
    <row r="2857" spans="1:13">
      <c r="A2857" s="1">
        <f>HYPERLINK("http://www.twitter.com/NathanBLawrence/status/987937499099090944", "987937499099090944")</f>
        <v/>
      </c>
      <c r="B2857" s="2" t="n">
        <v>43212.25959490741</v>
      </c>
      <c r="C2857" t="n">
        <v>0</v>
      </c>
      <c r="D2857" t="n">
        <v>2890</v>
      </c>
      <c r="E2857" t="s">
        <v>2857</v>
      </c>
      <c r="F2857">
        <f>HYPERLINK("http://pbs.twimg.com/media/DbWMx-IVMAAv1MY.jpg", "http://pbs.twimg.com/media/DbWMx-IVMAAv1MY.jpg")</f>
        <v/>
      </c>
      <c r="G2857" t="s"/>
      <c r="H2857" t="s"/>
      <c r="I2857" t="s"/>
      <c r="J2857" t="n">
        <v>-0.5423</v>
      </c>
      <c r="K2857" t="n">
        <v>0.211</v>
      </c>
      <c r="L2857" t="n">
        <v>0.702</v>
      </c>
      <c r="M2857" t="n">
        <v>0.08799999999999999</v>
      </c>
    </row>
    <row r="2858" spans="1:13">
      <c r="A2858" s="1">
        <f>HYPERLINK("http://www.twitter.com/NathanBLawrence/status/987937415762464768", "987937415762464768")</f>
        <v/>
      </c>
      <c r="B2858" s="2" t="n">
        <v>43212.25936342592</v>
      </c>
      <c r="C2858" t="n">
        <v>0</v>
      </c>
      <c r="D2858" t="n">
        <v>419</v>
      </c>
      <c r="E2858" t="s">
        <v>2858</v>
      </c>
      <c r="F2858" t="s"/>
      <c r="G2858" t="s"/>
      <c r="H2858" t="s"/>
      <c r="I2858" t="s"/>
      <c r="J2858" t="n">
        <v>-0.0516</v>
      </c>
      <c r="K2858" t="n">
        <v>0.08699999999999999</v>
      </c>
      <c r="L2858" t="n">
        <v>0.833</v>
      </c>
      <c r="M2858" t="n">
        <v>0.08</v>
      </c>
    </row>
    <row r="2859" spans="1:13">
      <c r="A2859" s="1">
        <f>HYPERLINK("http://www.twitter.com/NathanBLawrence/status/987937011138007040", "987937011138007040")</f>
        <v/>
      </c>
      <c r="B2859" s="2" t="n">
        <v>43212.25825231482</v>
      </c>
      <c r="C2859" t="n">
        <v>0</v>
      </c>
      <c r="D2859" t="n">
        <v>124</v>
      </c>
      <c r="E2859" t="s">
        <v>2859</v>
      </c>
      <c r="F2859" t="s"/>
      <c r="G2859" t="s"/>
      <c r="H2859" t="s"/>
      <c r="I2859" t="s"/>
      <c r="J2859" t="n">
        <v>-0.5266999999999999</v>
      </c>
      <c r="K2859" t="n">
        <v>0.175</v>
      </c>
      <c r="L2859" t="n">
        <v>0.825</v>
      </c>
      <c r="M2859" t="n">
        <v>0</v>
      </c>
    </row>
    <row r="2860" spans="1:13">
      <c r="A2860" s="1">
        <f>HYPERLINK("http://www.twitter.com/NathanBLawrence/status/987936752919810048", "987936752919810048")</f>
        <v/>
      </c>
      <c r="B2860" s="2" t="n">
        <v>43212.25753472222</v>
      </c>
      <c r="C2860" t="n">
        <v>0</v>
      </c>
      <c r="D2860" t="n">
        <v>17</v>
      </c>
      <c r="E2860" t="s">
        <v>2860</v>
      </c>
      <c r="F2860" t="s"/>
      <c r="G2860" t="s"/>
      <c r="H2860" t="s"/>
      <c r="I2860" t="s"/>
      <c r="J2860" t="n">
        <v>-0.8442</v>
      </c>
      <c r="K2860" t="n">
        <v>0.288</v>
      </c>
      <c r="L2860" t="n">
        <v>0.712</v>
      </c>
      <c r="M2860" t="n">
        <v>0</v>
      </c>
    </row>
    <row r="2861" spans="1:13">
      <c r="A2861" s="1">
        <f>HYPERLINK("http://www.twitter.com/NathanBLawrence/status/987936521633304576", "987936521633304576")</f>
        <v/>
      </c>
      <c r="B2861" s="2" t="n">
        <v>43212.25689814815</v>
      </c>
      <c r="C2861" t="n">
        <v>0</v>
      </c>
      <c r="D2861" t="n">
        <v>842</v>
      </c>
      <c r="E2861" t="s">
        <v>2861</v>
      </c>
      <c r="F2861">
        <f>HYPERLINK("https://video.twimg.com/amplify_video/987095478838833152/vid/1280x720/fm-MgXetdLxxT2P0.mp4?tag=6", "https://video.twimg.com/amplify_video/987095478838833152/vid/1280x720/fm-MgXetdLxxT2P0.mp4?tag=6")</f>
        <v/>
      </c>
      <c r="G2861" t="s"/>
      <c r="H2861" t="s"/>
      <c r="I2861" t="s"/>
      <c r="J2861" t="n">
        <v>-0.4753</v>
      </c>
      <c r="K2861" t="n">
        <v>0.123</v>
      </c>
      <c r="L2861" t="n">
        <v>0.877</v>
      </c>
      <c r="M2861" t="n">
        <v>0</v>
      </c>
    </row>
    <row r="2862" spans="1:13">
      <c r="A2862" s="1">
        <f>HYPERLINK("http://www.twitter.com/NathanBLawrence/status/987936086344298497", "987936086344298497")</f>
        <v/>
      </c>
      <c r="B2862" s="2" t="n">
        <v>43212.25569444444</v>
      </c>
      <c r="C2862" t="n">
        <v>0</v>
      </c>
      <c r="D2862" t="n">
        <v>256</v>
      </c>
      <c r="E2862" t="s">
        <v>2862</v>
      </c>
      <c r="F2862" t="s"/>
      <c r="G2862" t="s"/>
      <c r="H2862" t="s"/>
      <c r="I2862" t="s"/>
      <c r="J2862" t="n">
        <v>0.1734</v>
      </c>
      <c r="K2862" t="n">
        <v>0.102</v>
      </c>
      <c r="L2862" t="n">
        <v>0.769</v>
      </c>
      <c r="M2862" t="n">
        <v>0.129</v>
      </c>
    </row>
    <row r="2863" spans="1:13">
      <c r="A2863" s="1">
        <f>HYPERLINK("http://www.twitter.com/NathanBLawrence/status/987935807355924480", "987935807355924480")</f>
        <v/>
      </c>
      <c r="B2863" s="2" t="n">
        <v>43212.25493055556</v>
      </c>
      <c r="C2863" t="n">
        <v>0</v>
      </c>
      <c r="D2863" t="n">
        <v>181</v>
      </c>
      <c r="E2863" t="s">
        <v>2863</v>
      </c>
      <c r="F2863" t="s"/>
      <c r="G2863" t="s"/>
      <c r="H2863" t="s"/>
      <c r="I2863" t="s"/>
      <c r="J2863" t="n">
        <v>0</v>
      </c>
      <c r="K2863" t="n">
        <v>0</v>
      </c>
      <c r="L2863" t="n">
        <v>1</v>
      </c>
      <c r="M2863" t="n">
        <v>0</v>
      </c>
    </row>
    <row r="2864" spans="1:13">
      <c r="A2864" s="1">
        <f>HYPERLINK("http://www.twitter.com/NathanBLawrence/status/987935363606990849", "987935363606990849")</f>
        <v/>
      </c>
      <c r="B2864" s="2" t="n">
        <v>43212.2537037037</v>
      </c>
      <c r="C2864" t="n">
        <v>0</v>
      </c>
      <c r="D2864" t="n">
        <v>900</v>
      </c>
      <c r="E2864" t="s">
        <v>2864</v>
      </c>
      <c r="F2864" t="s"/>
      <c r="G2864" t="s"/>
      <c r="H2864" t="s"/>
      <c r="I2864" t="s"/>
      <c r="J2864" t="n">
        <v>0.3034</v>
      </c>
      <c r="K2864" t="n">
        <v>0.083</v>
      </c>
      <c r="L2864" t="n">
        <v>0.786</v>
      </c>
      <c r="M2864" t="n">
        <v>0.131</v>
      </c>
    </row>
    <row r="2865" spans="1:13">
      <c r="A2865" s="1">
        <f>HYPERLINK("http://www.twitter.com/NathanBLawrence/status/987934999021223937", "987934999021223937")</f>
        <v/>
      </c>
      <c r="B2865" s="2" t="n">
        <v>43212.25269675926</v>
      </c>
      <c r="C2865" t="n">
        <v>0</v>
      </c>
      <c r="D2865" t="n">
        <v>533</v>
      </c>
      <c r="E2865" t="s">
        <v>2865</v>
      </c>
      <c r="F2865">
        <f>HYPERLINK("http://pbs.twimg.com/media/Daif_kpVQAAnjOb.jpg", "http://pbs.twimg.com/media/Daif_kpVQAAnjOb.jpg")</f>
        <v/>
      </c>
      <c r="G2865" t="s"/>
      <c r="H2865" t="s"/>
      <c r="I2865" t="s"/>
      <c r="J2865" t="n">
        <v>0</v>
      </c>
      <c r="K2865" t="n">
        <v>0</v>
      </c>
      <c r="L2865" t="n">
        <v>1</v>
      </c>
      <c r="M2865" t="n">
        <v>0</v>
      </c>
    </row>
    <row r="2866" spans="1:13">
      <c r="A2866" s="1">
        <f>HYPERLINK("http://www.twitter.com/NathanBLawrence/status/987934507138502658", "987934507138502658")</f>
        <v/>
      </c>
      <c r="B2866" s="2" t="n">
        <v>43212.25134259259</v>
      </c>
      <c r="C2866" t="n">
        <v>0</v>
      </c>
      <c r="D2866" t="n">
        <v>743</v>
      </c>
      <c r="E2866" t="s">
        <v>2866</v>
      </c>
      <c r="F2866" t="s"/>
      <c r="G2866" t="s"/>
      <c r="H2866" t="s"/>
      <c r="I2866" t="s"/>
      <c r="J2866" t="n">
        <v>0</v>
      </c>
      <c r="K2866" t="n">
        <v>0</v>
      </c>
      <c r="L2866" t="n">
        <v>1</v>
      </c>
      <c r="M2866" t="n">
        <v>0</v>
      </c>
    </row>
    <row r="2867" spans="1:13">
      <c r="A2867" s="1">
        <f>HYPERLINK("http://www.twitter.com/NathanBLawrence/status/987929065343537152", "987929065343537152")</f>
        <v/>
      </c>
      <c r="B2867" s="2" t="n">
        <v>43212.23631944445</v>
      </c>
      <c r="C2867" t="n">
        <v>0</v>
      </c>
      <c r="D2867" t="n">
        <v>69</v>
      </c>
      <c r="E2867" t="s">
        <v>2867</v>
      </c>
      <c r="F2867">
        <f>HYPERLINK("http://pbs.twimg.com/media/DbQ-lkYXUAAvHKb.jpg", "http://pbs.twimg.com/media/DbQ-lkYXUAAvHKb.jpg")</f>
        <v/>
      </c>
      <c r="G2867" t="s"/>
      <c r="H2867" t="s"/>
      <c r="I2867" t="s"/>
      <c r="J2867" t="n">
        <v>0.5859</v>
      </c>
      <c r="K2867" t="n">
        <v>0</v>
      </c>
      <c r="L2867" t="n">
        <v>0.798</v>
      </c>
      <c r="M2867" t="n">
        <v>0.202</v>
      </c>
    </row>
    <row r="2868" spans="1:13">
      <c r="A2868" s="1">
        <f>HYPERLINK("http://www.twitter.com/NathanBLawrence/status/987928500853080065", "987928500853080065")</f>
        <v/>
      </c>
      <c r="B2868" s="2" t="n">
        <v>43212.23476851852</v>
      </c>
      <c r="C2868" t="n">
        <v>0</v>
      </c>
      <c r="D2868" t="n">
        <v>104</v>
      </c>
      <c r="E2868" t="s">
        <v>2868</v>
      </c>
      <c r="F2868">
        <f>HYPERLINK("http://pbs.twimg.com/media/DbQTpvVWkAYSUnT.jpg", "http://pbs.twimg.com/media/DbQTpvVWkAYSUnT.jpg")</f>
        <v/>
      </c>
      <c r="G2868" t="s"/>
      <c r="H2868" t="s"/>
      <c r="I2868" t="s"/>
      <c r="J2868" t="n">
        <v>0</v>
      </c>
      <c r="K2868" t="n">
        <v>0</v>
      </c>
      <c r="L2868" t="n">
        <v>1</v>
      </c>
      <c r="M2868" t="n">
        <v>0</v>
      </c>
    </row>
    <row r="2869" spans="1:13">
      <c r="A2869" s="1">
        <f>HYPERLINK("http://www.twitter.com/NathanBLawrence/status/987924796364148736", "987924796364148736")</f>
        <v/>
      </c>
      <c r="B2869" s="2" t="n">
        <v>43212.22453703704</v>
      </c>
      <c r="C2869" t="n">
        <v>0</v>
      </c>
      <c r="D2869" t="n">
        <v>86</v>
      </c>
      <c r="E2869" t="s">
        <v>2869</v>
      </c>
      <c r="F2869">
        <f>HYPERLINK("http://pbs.twimg.com/media/DbP0yBCXkAAkGch.jpg", "http://pbs.twimg.com/media/DbP0yBCXkAAkGch.jpg")</f>
        <v/>
      </c>
      <c r="G2869" t="s"/>
      <c r="H2869" t="s"/>
      <c r="I2869" t="s"/>
      <c r="J2869" t="n">
        <v>0</v>
      </c>
      <c r="K2869" t="n">
        <v>0</v>
      </c>
      <c r="L2869" t="n">
        <v>1</v>
      </c>
      <c r="M2869" t="n">
        <v>0</v>
      </c>
    </row>
    <row r="2870" spans="1:13">
      <c r="A2870" s="1">
        <f>HYPERLINK("http://www.twitter.com/NathanBLawrence/status/987924343203086337", "987924343203086337")</f>
        <v/>
      </c>
      <c r="B2870" s="2" t="n">
        <v>43212.22328703704</v>
      </c>
      <c r="C2870" t="n">
        <v>0</v>
      </c>
      <c r="D2870" t="n">
        <v>101</v>
      </c>
      <c r="E2870" t="s">
        <v>2870</v>
      </c>
      <c r="F2870">
        <f>HYPERLINK("http://pbs.twimg.com/media/DbPj3CUWsAEe5BR.jpg", "http://pbs.twimg.com/media/DbPj3CUWsAEe5BR.jpg")</f>
        <v/>
      </c>
      <c r="G2870" t="s"/>
      <c r="H2870" t="s"/>
      <c r="I2870" t="s"/>
      <c r="J2870" t="n">
        <v>0.6249</v>
      </c>
      <c r="K2870" t="n">
        <v>0</v>
      </c>
      <c r="L2870" t="n">
        <v>0.796</v>
      </c>
      <c r="M2870" t="n">
        <v>0.204</v>
      </c>
    </row>
    <row r="2871" spans="1:13">
      <c r="A2871" s="1">
        <f>HYPERLINK("http://www.twitter.com/NathanBLawrence/status/987923618460913666", "987923618460913666")</f>
        <v/>
      </c>
      <c r="B2871" s="2" t="n">
        <v>43212.22129629629</v>
      </c>
      <c r="C2871" t="n">
        <v>0</v>
      </c>
      <c r="D2871" t="n">
        <v>94</v>
      </c>
      <c r="E2871" t="s">
        <v>2871</v>
      </c>
      <c r="F2871">
        <f>HYPERLINK("http://pbs.twimg.com/media/DbPHyYfWkAAYr6Y.jpg", "http://pbs.twimg.com/media/DbPHyYfWkAAYr6Y.jpg")</f>
        <v/>
      </c>
      <c r="G2871" t="s"/>
      <c r="H2871" t="s"/>
      <c r="I2871" t="s"/>
      <c r="J2871" t="n">
        <v>0</v>
      </c>
      <c r="K2871" t="n">
        <v>0</v>
      </c>
      <c r="L2871" t="n">
        <v>1</v>
      </c>
      <c r="M2871" t="n">
        <v>0</v>
      </c>
    </row>
    <row r="2872" spans="1:13">
      <c r="A2872" s="1">
        <f>HYPERLINK("http://www.twitter.com/NathanBLawrence/status/987923242525470720", "987923242525470720")</f>
        <v/>
      </c>
      <c r="B2872" s="2" t="n">
        <v>43212.22025462963</v>
      </c>
      <c r="C2872" t="n">
        <v>0</v>
      </c>
      <c r="D2872" t="n">
        <v>70</v>
      </c>
      <c r="E2872" t="s">
        <v>2872</v>
      </c>
      <c r="F2872">
        <f>HYPERLINK("http://pbs.twimg.com/media/DbPDsr0XUAAZQpD.jpg", "http://pbs.twimg.com/media/DbPDsr0XUAAZQpD.jpg")</f>
        <v/>
      </c>
      <c r="G2872" t="s"/>
      <c r="H2872" t="s"/>
      <c r="I2872" t="s"/>
      <c r="J2872" t="n">
        <v>0.5859</v>
      </c>
      <c r="K2872" t="n">
        <v>0</v>
      </c>
      <c r="L2872" t="n">
        <v>0.787</v>
      </c>
      <c r="M2872" t="n">
        <v>0.213</v>
      </c>
    </row>
    <row r="2873" spans="1:13">
      <c r="A2873" s="1">
        <f>HYPERLINK("http://www.twitter.com/NathanBLawrence/status/987922925742260224", "987922925742260224")</f>
        <v/>
      </c>
      <c r="B2873" s="2" t="n">
        <v>43212.219375</v>
      </c>
      <c r="C2873" t="n">
        <v>0</v>
      </c>
      <c r="D2873" t="n">
        <v>65</v>
      </c>
      <c r="E2873" t="s">
        <v>2873</v>
      </c>
      <c r="F2873">
        <f>HYPERLINK("http://pbs.twimg.com/media/DbPC6XoWkAYHT-c.jpg", "http://pbs.twimg.com/media/DbPC6XoWkAYHT-c.jpg")</f>
        <v/>
      </c>
      <c r="G2873" t="s"/>
      <c r="H2873" t="s"/>
      <c r="I2873" t="s"/>
      <c r="J2873" t="n">
        <v>0</v>
      </c>
      <c r="K2873" t="n">
        <v>0</v>
      </c>
      <c r="L2873" t="n">
        <v>1</v>
      </c>
      <c r="M2873" t="n">
        <v>0</v>
      </c>
    </row>
    <row r="2874" spans="1:13">
      <c r="A2874" s="1">
        <f>HYPERLINK("http://www.twitter.com/NathanBLawrence/status/987920521344966656", "987920521344966656")</f>
        <v/>
      </c>
      <c r="B2874" s="2" t="n">
        <v>43212.21274305556</v>
      </c>
      <c r="C2874" t="n">
        <v>0</v>
      </c>
      <c r="D2874" t="n">
        <v>67</v>
      </c>
      <c r="E2874" t="s">
        <v>2874</v>
      </c>
      <c r="F2874">
        <f>HYPERLINK("http://pbs.twimg.com/media/DbOsTUYWkAA8Xo8.jpg", "http://pbs.twimg.com/media/DbOsTUYWkAA8Xo8.jpg")</f>
        <v/>
      </c>
      <c r="G2874" t="s"/>
      <c r="H2874" t="s"/>
      <c r="I2874" t="s"/>
      <c r="J2874" t="n">
        <v>0.4939</v>
      </c>
      <c r="K2874" t="n">
        <v>0</v>
      </c>
      <c r="L2874" t="n">
        <v>0.8139999999999999</v>
      </c>
      <c r="M2874" t="n">
        <v>0.186</v>
      </c>
    </row>
    <row r="2875" spans="1:13">
      <c r="A2875" s="1">
        <f>HYPERLINK("http://www.twitter.com/NathanBLawrence/status/987920148349599744", "987920148349599744")</f>
        <v/>
      </c>
      <c r="B2875" s="2" t="n">
        <v>43212.21171296296</v>
      </c>
      <c r="C2875" t="n">
        <v>0</v>
      </c>
      <c r="D2875" t="n">
        <v>76</v>
      </c>
      <c r="E2875" t="s">
        <v>2875</v>
      </c>
      <c r="F2875">
        <f>HYPERLINK("http://pbs.twimg.com/media/DbOrVD8XcAAveDp.jpg", "http://pbs.twimg.com/media/DbOrVD8XcAAveDp.jpg")</f>
        <v/>
      </c>
      <c r="G2875" t="s"/>
      <c r="H2875" t="s"/>
      <c r="I2875" t="s"/>
      <c r="J2875" t="n">
        <v>0.4939</v>
      </c>
      <c r="K2875" t="n">
        <v>0</v>
      </c>
      <c r="L2875" t="n">
        <v>0.8139999999999999</v>
      </c>
      <c r="M2875" t="n">
        <v>0.186</v>
      </c>
    </row>
    <row r="2876" spans="1:13">
      <c r="A2876" s="1">
        <f>HYPERLINK("http://www.twitter.com/NathanBLawrence/status/987919673114030080", "987919673114030080")</f>
        <v/>
      </c>
      <c r="B2876" s="2" t="n">
        <v>43212.21040509259</v>
      </c>
      <c r="C2876" t="n">
        <v>0</v>
      </c>
      <c r="D2876" t="n">
        <v>81</v>
      </c>
      <c r="E2876" t="s">
        <v>2876</v>
      </c>
      <c r="F2876">
        <f>HYPERLINK("http://pbs.twimg.com/media/DbOqh4eWsAIP2fk.jpg", "http://pbs.twimg.com/media/DbOqh4eWsAIP2fk.jpg")</f>
        <v/>
      </c>
      <c r="G2876" t="s"/>
      <c r="H2876" t="s"/>
      <c r="I2876" t="s"/>
      <c r="J2876" t="n">
        <v>0.5859</v>
      </c>
      <c r="K2876" t="n">
        <v>0</v>
      </c>
      <c r="L2876" t="n">
        <v>0.774</v>
      </c>
      <c r="M2876" t="n">
        <v>0.226</v>
      </c>
    </row>
    <row r="2877" spans="1:13">
      <c r="A2877" s="1">
        <f>HYPERLINK("http://www.twitter.com/NathanBLawrence/status/987918146827833344", "987918146827833344")</f>
        <v/>
      </c>
      <c r="B2877" s="2" t="n">
        <v>43212.20619212963</v>
      </c>
      <c r="C2877" t="n">
        <v>0</v>
      </c>
      <c r="D2877" t="n">
        <v>129</v>
      </c>
      <c r="E2877" t="s">
        <v>2877</v>
      </c>
      <c r="F2877">
        <f>HYPERLINK("http://pbs.twimg.com/media/DbQB7SwXUAAR7lD.jpg", "http://pbs.twimg.com/media/DbQB7SwXUAAR7lD.jpg")</f>
        <v/>
      </c>
      <c r="G2877" t="s"/>
      <c r="H2877" t="s"/>
      <c r="I2877" t="s"/>
      <c r="J2877" t="n">
        <v>0</v>
      </c>
      <c r="K2877" t="n">
        <v>0</v>
      </c>
      <c r="L2877" t="n">
        <v>1</v>
      </c>
      <c r="M2877" t="n">
        <v>0</v>
      </c>
    </row>
    <row r="2878" spans="1:13">
      <c r="A2878" s="1">
        <f>HYPERLINK("http://www.twitter.com/NathanBLawrence/status/987895576661389313", "987895576661389313")</f>
        <v/>
      </c>
      <c r="B2878" s="2" t="n">
        <v>43212.14391203703</v>
      </c>
      <c r="C2878" t="n">
        <v>0</v>
      </c>
      <c r="D2878" t="n">
        <v>1694</v>
      </c>
      <c r="E2878" t="s">
        <v>2878</v>
      </c>
      <c r="F2878" t="s"/>
      <c r="G2878" t="s"/>
      <c r="H2878" t="s"/>
      <c r="I2878" t="s"/>
      <c r="J2878" t="n">
        <v>-0.8356</v>
      </c>
      <c r="K2878" t="n">
        <v>0.297</v>
      </c>
      <c r="L2878" t="n">
        <v>0.703</v>
      </c>
      <c r="M2878" t="n">
        <v>0</v>
      </c>
    </row>
    <row r="2879" spans="1:13">
      <c r="A2879" s="1">
        <f>HYPERLINK("http://www.twitter.com/NathanBLawrence/status/987895318531293184", "987895318531293184")</f>
        <v/>
      </c>
      <c r="B2879" s="2" t="n">
        <v>43212.14319444444</v>
      </c>
      <c r="C2879" t="n">
        <v>0</v>
      </c>
      <c r="D2879" t="n">
        <v>1288</v>
      </c>
      <c r="E2879" t="s">
        <v>2879</v>
      </c>
      <c r="F2879">
        <f>HYPERLINK("http://pbs.twimg.com/media/DaCdyYoX4AAaOtF.jpg", "http://pbs.twimg.com/media/DaCdyYoX4AAaOtF.jpg")</f>
        <v/>
      </c>
      <c r="G2879" t="s"/>
      <c r="H2879" t="s"/>
      <c r="I2879" t="s"/>
      <c r="J2879" t="n">
        <v>0.9036999999999999</v>
      </c>
      <c r="K2879" t="n">
        <v>0</v>
      </c>
      <c r="L2879" t="n">
        <v>0.33</v>
      </c>
      <c r="M2879" t="n">
        <v>0.67</v>
      </c>
    </row>
    <row r="2880" spans="1:13">
      <c r="A2880" s="1">
        <f>HYPERLINK("http://www.twitter.com/NathanBLawrence/status/987894881656889345", "987894881656889345")</f>
        <v/>
      </c>
      <c r="B2880" s="2" t="n">
        <v>43212.14199074074</v>
      </c>
      <c r="C2880" t="n">
        <v>0</v>
      </c>
      <c r="D2880" t="n">
        <v>287</v>
      </c>
      <c r="E2880" t="s">
        <v>2880</v>
      </c>
      <c r="F2880" t="s"/>
      <c r="G2880" t="s"/>
      <c r="H2880" t="s"/>
      <c r="I2880" t="s"/>
      <c r="J2880" t="n">
        <v>-0.3612</v>
      </c>
      <c r="K2880" t="n">
        <v>0.128</v>
      </c>
      <c r="L2880" t="n">
        <v>0.872</v>
      </c>
      <c r="M2880" t="n">
        <v>0</v>
      </c>
    </row>
    <row r="2881" spans="1:13">
      <c r="A2881" s="1">
        <f>HYPERLINK("http://www.twitter.com/NathanBLawrence/status/987894652660432896", "987894652660432896")</f>
        <v/>
      </c>
      <c r="B2881" s="2" t="n">
        <v>43212.14136574074</v>
      </c>
      <c r="C2881" t="n">
        <v>0</v>
      </c>
      <c r="D2881" t="n">
        <v>1008</v>
      </c>
      <c r="E2881" t="s">
        <v>2881</v>
      </c>
      <c r="F2881">
        <f>HYPERLINK("http://pbs.twimg.com/media/DbUHoC0VMAEAJky.jpg", "http://pbs.twimg.com/media/DbUHoC0VMAEAJky.jpg")</f>
        <v/>
      </c>
      <c r="G2881" t="s"/>
      <c r="H2881" t="s"/>
      <c r="I2881" t="s"/>
      <c r="J2881" t="n">
        <v>-0.7184</v>
      </c>
      <c r="K2881" t="n">
        <v>0.243</v>
      </c>
      <c r="L2881" t="n">
        <v>0.6850000000000001</v>
      </c>
      <c r="M2881" t="n">
        <v>0.07199999999999999</v>
      </c>
    </row>
    <row r="2882" spans="1:13">
      <c r="A2882" s="1">
        <f>HYPERLINK("http://www.twitter.com/NathanBLawrence/status/987894268273442817", "987894268273442817")</f>
        <v/>
      </c>
      <c r="B2882" s="2" t="n">
        <v>43212.14030092592</v>
      </c>
      <c r="C2882" t="n">
        <v>5</v>
      </c>
      <c r="D2882" t="n">
        <v>2</v>
      </c>
      <c r="E2882" t="s">
        <v>2882</v>
      </c>
      <c r="F2882" t="s"/>
      <c r="G2882" t="s"/>
      <c r="H2882" t="s"/>
      <c r="I2882" t="s"/>
      <c r="J2882" t="n">
        <v>0.2023</v>
      </c>
      <c r="K2882" t="n">
        <v>0</v>
      </c>
      <c r="L2882" t="n">
        <v>0.9330000000000001</v>
      </c>
      <c r="M2882" t="n">
        <v>0.067</v>
      </c>
    </row>
    <row r="2883" spans="1:13">
      <c r="A2883" s="1">
        <f>HYPERLINK("http://www.twitter.com/NathanBLawrence/status/987893352883306496", "987893352883306496")</f>
        <v/>
      </c>
      <c r="B2883" s="2" t="n">
        <v>43212.13777777777</v>
      </c>
      <c r="C2883" t="n">
        <v>0</v>
      </c>
      <c r="D2883" t="n">
        <v>155</v>
      </c>
      <c r="E2883" t="s">
        <v>2883</v>
      </c>
      <c r="F2883">
        <f>HYPERLINK("http://pbs.twimg.com/media/DbQuMRRVQAEUSP-.jpg", "http://pbs.twimg.com/media/DbQuMRRVQAEUSP-.jpg")</f>
        <v/>
      </c>
      <c r="G2883" t="s"/>
      <c r="H2883" t="s"/>
      <c r="I2883" t="s"/>
      <c r="J2883" t="n">
        <v>0.7269</v>
      </c>
      <c r="K2883" t="n">
        <v>0</v>
      </c>
      <c r="L2883" t="n">
        <v>0.736</v>
      </c>
      <c r="M2883" t="n">
        <v>0.264</v>
      </c>
    </row>
    <row r="2884" spans="1:13">
      <c r="A2884" s="1">
        <f>HYPERLINK("http://www.twitter.com/NathanBLawrence/status/987893296738390016", "987893296738390016")</f>
        <v/>
      </c>
      <c r="B2884" s="2" t="n">
        <v>43212.13761574074</v>
      </c>
      <c r="C2884" t="n">
        <v>0</v>
      </c>
      <c r="D2884" t="n">
        <v>3784</v>
      </c>
      <c r="E2884" t="s">
        <v>2884</v>
      </c>
      <c r="F2884" t="s"/>
      <c r="G2884" t="s"/>
      <c r="H2884" t="s"/>
      <c r="I2884" t="s"/>
      <c r="J2884" t="n">
        <v>0.6597</v>
      </c>
      <c r="K2884" t="n">
        <v>0</v>
      </c>
      <c r="L2884" t="n">
        <v>0.779</v>
      </c>
      <c r="M2884" t="n">
        <v>0.221</v>
      </c>
    </row>
    <row r="2885" spans="1:13">
      <c r="A2885" s="1">
        <f>HYPERLINK("http://www.twitter.com/NathanBLawrence/status/987893016739299328", "987893016739299328")</f>
        <v/>
      </c>
      <c r="B2885" s="2" t="n">
        <v>43212.13685185185</v>
      </c>
      <c r="C2885" t="n">
        <v>0</v>
      </c>
      <c r="D2885" t="n">
        <v>315</v>
      </c>
      <c r="E2885" t="s">
        <v>2885</v>
      </c>
      <c r="F2885">
        <f>HYPERLINK("http://pbs.twimg.com/media/DbUKltEVwAAvRc1.jpg", "http://pbs.twimg.com/media/DbUKltEVwAAvRc1.jpg")</f>
        <v/>
      </c>
      <c r="G2885" t="s"/>
      <c r="H2885" t="s"/>
      <c r="I2885" t="s"/>
      <c r="J2885" t="n">
        <v>0.3612</v>
      </c>
      <c r="K2885" t="n">
        <v>0</v>
      </c>
      <c r="L2885" t="n">
        <v>0.8</v>
      </c>
      <c r="M2885" t="n">
        <v>0.2</v>
      </c>
    </row>
    <row r="2886" spans="1:13">
      <c r="A2886" s="1">
        <f>HYPERLINK("http://www.twitter.com/NathanBLawrence/status/987892834622623744", "987892834622623744")</f>
        <v/>
      </c>
      <c r="B2886" s="2" t="n">
        <v>43212.1363425926</v>
      </c>
      <c r="C2886" t="n">
        <v>0</v>
      </c>
      <c r="D2886" t="n">
        <v>774</v>
      </c>
      <c r="E2886" t="s">
        <v>2886</v>
      </c>
      <c r="F2886" t="s"/>
      <c r="G2886" t="s"/>
      <c r="H2886" t="s"/>
      <c r="I2886" t="s"/>
      <c r="J2886" t="n">
        <v>0.2714</v>
      </c>
      <c r="K2886" t="n">
        <v>0.098</v>
      </c>
      <c r="L2886" t="n">
        <v>0.756</v>
      </c>
      <c r="M2886" t="n">
        <v>0.146</v>
      </c>
    </row>
    <row r="2887" spans="1:13">
      <c r="A2887" s="1">
        <f>HYPERLINK("http://www.twitter.com/NathanBLawrence/status/987892408305139712", "987892408305139712")</f>
        <v/>
      </c>
      <c r="B2887" s="2" t="n">
        <v>43212.13516203704</v>
      </c>
      <c r="C2887" t="n">
        <v>0</v>
      </c>
      <c r="D2887" t="n">
        <v>701</v>
      </c>
      <c r="E2887" t="s">
        <v>2887</v>
      </c>
      <c r="F2887">
        <f>HYPERLINK("https://video.twimg.com/ext_tw_video/986971480771649537/pu/vid/1280x720/Ty1rHwmEEs6NZza_.mp4?tag=3", "https://video.twimg.com/ext_tw_video/986971480771649537/pu/vid/1280x720/Ty1rHwmEEs6NZza_.mp4?tag=3")</f>
        <v/>
      </c>
      <c r="G2887" t="s"/>
      <c r="H2887" t="s"/>
      <c r="I2887" t="s"/>
      <c r="J2887" t="n">
        <v>-0.4404</v>
      </c>
      <c r="K2887" t="n">
        <v>0.153</v>
      </c>
      <c r="L2887" t="n">
        <v>0.847</v>
      </c>
      <c r="M2887" t="n">
        <v>0</v>
      </c>
    </row>
    <row r="2888" spans="1:13">
      <c r="A2888" s="1">
        <f>HYPERLINK("http://www.twitter.com/NathanBLawrence/status/987889204725141504", "987889204725141504")</f>
        <v/>
      </c>
      <c r="B2888" s="2" t="n">
        <v>43212.12633101852</v>
      </c>
      <c r="C2888" t="n">
        <v>0</v>
      </c>
      <c r="D2888" t="n">
        <v>689</v>
      </c>
      <c r="E2888" t="s">
        <v>2888</v>
      </c>
      <c r="F2888" t="s"/>
      <c r="G2888" t="s"/>
      <c r="H2888" t="s"/>
      <c r="I2888" t="s"/>
      <c r="J2888" t="n">
        <v>0.7419</v>
      </c>
      <c r="K2888" t="n">
        <v>0</v>
      </c>
      <c r="L2888" t="n">
        <v>0.778</v>
      </c>
      <c r="M2888" t="n">
        <v>0.222</v>
      </c>
    </row>
    <row r="2889" spans="1:13">
      <c r="A2889" s="1">
        <f>HYPERLINK("http://www.twitter.com/NathanBLawrence/status/987888958938927105", "987888958938927105")</f>
        <v/>
      </c>
      <c r="B2889" s="2" t="n">
        <v>43212.12564814815</v>
      </c>
      <c r="C2889" t="n">
        <v>0</v>
      </c>
      <c r="D2889" t="n">
        <v>1446</v>
      </c>
      <c r="E2889" t="s">
        <v>2889</v>
      </c>
      <c r="F2889" t="s"/>
      <c r="G2889" t="s"/>
      <c r="H2889" t="s"/>
      <c r="I2889" t="s"/>
      <c r="J2889" t="n">
        <v>0</v>
      </c>
      <c r="K2889" t="n">
        <v>0</v>
      </c>
      <c r="L2889" t="n">
        <v>1</v>
      </c>
      <c r="M2889" t="n">
        <v>0</v>
      </c>
    </row>
    <row r="2890" spans="1:13">
      <c r="A2890" s="1">
        <f>HYPERLINK("http://www.twitter.com/NathanBLawrence/status/987888886729752577", "987888886729752577")</f>
        <v/>
      </c>
      <c r="B2890" s="2" t="n">
        <v>43212.12545138889</v>
      </c>
      <c r="C2890" t="n">
        <v>0</v>
      </c>
      <c r="D2890" t="n">
        <v>362</v>
      </c>
      <c r="E2890" t="s">
        <v>2890</v>
      </c>
      <c r="F2890">
        <f>HYPERLINK("http://pbs.twimg.com/media/DbUlwBwVQAA_O2W.jpg", "http://pbs.twimg.com/media/DbUlwBwVQAA_O2W.jpg")</f>
        <v/>
      </c>
      <c r="G2890" t="s"/>
      <c r="H2890" t="s"/>
      <c r="I2890" t="s"/>
      <c r="J2890" t="n">
        <v>-0.7062</v>
      </c>
      <c r="K2890" t="n">
        <v>0.31</v>
      </c>
      <c r="L2890" t="n">
        <v>0.58</v>
      </c>
      <c r="M2890" t="n">
        <v>0.11</v>
      </c>
    </row>
    <row r="2891" spans="1:13">
      <c r="A2891" s="1">
        <f>HYPERLINK("http://www.twitter.com/NathanBLawrence/status/987887987374542848", "987887987374542848")</f>
        <v/>
      </c>
      <c r="B2891" s="2" t="n">
        <v>43212.12296296296</v>
      </c>
      <c r="C2891" t="n">
        <v>0</v>
      </c>
      <c r="D2891" t="n">
        <v>1</v>
      </c>
      <c r="E2891" t="s">
        <v>2891</v>
      </c>
      <c r="F2891" t="s"/>
      <c r="G2891" t="s"/>
      <c r="H2891" t="s"/>
      <c r="I2891" t="s"/>
      <c r="J2891" t="n">
        <v>-0.34</v>
      </c>
      <c r="K2891" t="n">
        <v>0.138</v>
      </c>
      <c r="L2891" t="n">
        <v>0.862</v>
      </c>
      <c r="M2891" t="n">
        <v>0</v>
      </c>
    </row>
    <row r="2892" spans="1:13">
      <c r="A2892" s="1">
        <f>HYPERLINK("http://www.twitter.com/NathanBLawrence/status/987887280562950148", "987887280562950148")</f>
        <v/>
      </c>
      <c r="B2892" s="2" t="n">
        <v>43212.12101851852</v>
      </c>
      <c r="C2892" t="n">
        <v>0</v>
      </c>
      <c r="D2892" t="n">
        <v>552</v>
      </c>
      <c r="E2892" t="s">
        <v>2892</v>
      </c>
      <c r="F2892" t="s"/>
      <c r="G2892" t="s"/>
      <c r="H2892" t="s"/>
      <c r="I2892" t="s"/>
      <c r="J2892" t="n">
        <v>0.0356</v>
      </c>
      <c r="K2892" t="n">
        <v>0.103</v>
      </c>
      <c r="L2892" t="n">
        <v>0.787</v>
      </c>
      <c r="M2892" t="n">
        <v>0.11</v>
      </c>
    </row>
    <row r="2893" spans="1:13">
      <c r="A2893" s="1">
        <f>HYPERLINK("http://www.twitter.com/NathanBLawrence/status/987868355049684992", "987868355049684992")</f>
        <v/>
      </c>
      <c r="B2893" s="2" t="n">
        <v>43212.0687962963</v>
      </c>
      <c r="C2893" t="n">
        <v>0</v>
      </c>
      <c r="D2893" t="n">
        <v>88</v>
      </c>
      <c r="E2893" t="s">
        <v>2893</v>
      </c>
      <c r="F2893" t="s"/>
      <c r="G2893" t="s"/>
      <c r="H2893" t="s"/>
      <c r="I2893" t="s"/>
      <c r="J2893" t="n">
        <v>0.4939</v>
      </c>
      <c r="K2893" t="n">
        <v>0</v>
      </c>
      <c r="L2893" t="n">
        <v>0.868</v>
      </c>
      <c r="M2893" t="n">
        <v>0.132</v>
      </c>
    </row>
    <row r="2894" spans="1:13">
      <c r="A2894" s="1">
        <f>HYPERLINK("http://www.twitter.com/NathanBLawrence/status/987833716574535680", "987833716574535680")</f>
        <v/>
      </c>
      <c r="B2894" s="2" t="n">
        <v>43211.97320601852</v>
      </c>
      <c r="C2894" t="n">
        <v>1</v>
      </c>
      <c r="D2894" t="n">
        <v>1</v>
      </c>
      <c r="E2894" t="s">
        <v>2894</v>
      </c>
      <c r="F2894" t="s"/>
      <c r="G2894" t="s"/>
      <c r="H2894" t="s"/>
      <c r="I2894" t="s"/>
      <c r="J2894" t="n">
        <v>0.7603</v>
      </c>
      <c r="K2894" t="n">
        <v>0.093</v>
      </c>
      <c r="L2894" t="n">
        <v>0.672</v>
      </c>
      <c r="M2894" t="n">
        <v>0.235</v>
      </c>
    </row>
    <row r="2895" spans="1:13">
      <c r="A2895" s="1">
        <f>HYPERLINK("http://www.twitter.com/NathanBLawrence/status/987832227693084672", "987832227693084672")</f>
        <v/>
      </c>
      <c r="B2895" s="2" t="n">
        <v>43211.96909722222</v>
      </c>
      <c r="C2895" t="n">
        <v>0</v>
      </c>
      <c r="D2895" t="n">
        <v>0</v>
      </c>
      <c r="E2895" t="s">
        <v>2895</v>
      </c>
      <c r="F2895" t="s"/>
      <c r="G2895" t="s"/>
      <c r="H2895" t="s"/>
      <c r="I2895" t="s"/>
      <c r="J2895" t="n">
        <v>-0.9094</v>
      </c>
      <c r="K2895" t="n">
        <v>0.301</v>
      </c>
      <c r="L2895" t="n">
        <v>0.629</v>
      </c>
      <c r="M2895" t="n">
        <v>0.07000000000000001</v>
      </c>
    </row>
    <row r="2896" spans="1:13">
      <c r="A2896" s="1">
        <f>HYPERLINK("http://www.twitter.com/NathanBLawrence/status/987827792216707072", "987827792216707072")</f>
        <v/>
      </c>
      <c r="B2896" s="2" t="n">
        <v>43211.95686342593</v>
      </c>
      <c r="C2896" t="n">
        <v>0</v>
      </c>
      <c r="D2896" t="n">
        <v>0</v>
      </c>
      <c r="E2896" t="s">
        <v>2896</v>
      </c>
      <c r="F2896" t="s"/>
      <c r="G2896" t="s"/>
      <c r="H2896" t="s"/>
      <c r="I2896" t="s"/>
      <c r="J2896" t="n">
        <v>-0.8481</v>
      </c>
      <c r="K2896" t="n">
        <v>0.194</v>
      </c>
      <c r="L2896" t="n">
        <v>0.806</v>
      </c>
      <c r="M2896" t="n">
        <v>0</v>
      </c>
    </row>
    <row r="2897" spans="1:13">
      <c r="A2897" s="1">
        <f>HYPERLINK("http://www.twitter.com/NathanBLawrence/status/987791650612166657", "987791650612166657")</f>
        <v/>
      </c>
      <c r="B2897" s="2" t="n">
        <v>43211.85712962963</v>
      </c>
      <c r="C2897" t="n">
        <v>2</v>
      </c>
      <c r="D2897" t="n">
        <v>0</v>
      </c>
      <c r="E2897" t="s">
        <v>2897</v>
      </c>
      <c r="F2897" t="s"/>
      <c r="G2897" t="s"/>
      <c r="H2897" t="s"/>
      <c r="I2897" t="s"/>
      <c r="J2897" t="n">
        <v>-0.4824</v>
      </c>
      <c r="K2897" t="n">
        <v>0.101</v>
      </c>
      <c r="L2897" t="n">
        <v>0.899</v>
      </c>
      <c r="M2897" t="n">
        <v>0</v>
      </c>
    </row>
    <row r="2898" spans="1:13">
      <c r="A2898" s="1">
        <f>HYPERLINK("http://www.twitter.com/NathanBLawrence/status/987791021160386560", "987791021160386560")</f>
        <v/>
      </c>
      <c r="B2898" s="2" t="n">
        <v>43211.85539351852</v>
      </c>
      <c r="C2898" t="n">
        <v>1</v>
      </c>
      <c r="D2898" t="n">
        <v>0</v>
      </c>
      <c r="E2898" t="s">
        <v>2898</v>
      </c>
      <c r="F2898" t="s"/>
      <c r="G2898" t="s"/>
      <c r="H2898" t="s"/>
      <c r="I2898" t="s"/>
      <c r="J2898" t="n">
        <v>0</v>
      </c>
      <c r="K2898" t="n">
        <v>0</v>
      </c>
      <c r="L2898" t="n">
        <v>1</v>
      </c>
      <c r="M2898" t="n">
        <v>0</v>
      </c>
    </row>
    <row r="2899" spans="1:13">
      <c r="A2899" s="1">
        <f>HYPERLINK("http://www.twitter.com/NathanBLawrence/status/987790346200363008", "987790346200363008")</f>
        <v/>
      </c>
      <c r="B2899" s="2" t="n">
        <v>43211.85353009259</v>
      </c>
      <c r="C2899" t="n">
        <v>4</v>
      </c>
      <c r="D2899" t="n">
        <v>0</v>
      </c>
      <c r="E2899" t="s">
        <v>2899</v>
      </c>
      <c r="F2899" t="s"/>
      <c r="G2899" t="s"/>
      <c r="H2899" t="s"/>
      <c r="I2899" t="s"/>
      <c r="J2899" t="n">
        <v>-0.628</v>
      </c>
      <c r="K2899" t="n">
        <v>0.164</v>
      </c>
      <c r="L2899" t="n">
        <v>0.836</v>
      </c>
      <c r="M2899" t="n">
        <v>0</v>
      </c>
    </row>
    <row r="2900" spans="1:13">
      <c r="A2900" s="1">
        <f>HYPERLINK("http://www.twitter.com/NathanBLawrence/status/987788604939235328", "987788604939235328")</f>
        <v/>
      </c>
      <c r="B2900" s="2" t="n">
        <v>43211.84872685185</v>
      </c>
      <c r="C2900" t="n">
        <v>2</v>
      </c>
      <c r="D2900" t="n">
        <v>0</v>
      </c>
      <c r="E2900" t="s">
        <v>2900</v>
      </c>
      <c r="F2900" t="s"/>
      <c r="G2900" t="s"/>
      <c r="H2900" t="s"/>
      <c r="I2900" t="s"/>
      <c r="J2900" t="n">
        <v>-0.8558</v>
      </c>
      <c r="K2900" t="n">
        <v>0.279</v>
      </c>
      <c r="L2900" t="n">
        <v>0.635</v>
      </c>
      <c r="M2900" t="n">
        <v>0.08599999999999999</v>
      </c>
    </row>
    <row r="2901" spans="1:13">
      <c r="A2901" s="1">
        <f>HYPERLINK("http://www.twitter.com/NathanBLawrence/status/987787900329705472", "987787900329705472")</f>
        <v/>
      </c>
      <c r="B2901" s="2" t="n">
        <v>43211.84678240741</v>
      </c>
      <c r="C2901" t="n">
        <v>3</v>
      </c>
      <c r="D2901" t="n">
        <v>0</v>
      </c>
      <c r="E2901" t="s">
        <v>2901</v>
      </c>
      <c r="F2901" t="s"/>
      <c r="G2901" t="s"/>
      <c r="H2901" t="s"/>
      <c r="I2901" t="s"/>
      <c r="J2901" t="n">
        <v>-0.4404</v>
      </c>
      <c r="K2901" t="n">
        <v>0.11</v>
      </c>
      <c r="L2901" t="n">
        <v>0.836</v>
      </c>
      <c r="M2901" t="n">
        <v>0.054</v>
      </c>
    </row>
    <row r="2902" spans="1:13">
      <c r="A2902" s="1">
        <f>HYPERLINK("http://www.twitter.com/NathanBLawrence/status/987787674109984768", "987787674109984768")</f>
        <v/>
      </c>
      <c r="B2902" s="2" t="n">
        <v>43211.84615740741</v>
      </c>
      <c r="C2902" t="n">
        <v>2</v>
      </c>
      <c r="D2902" t="n">
        <v>0</v>
      </c>
      <c r="E2902" t="s">
        <v>2902</v>
      </c>
      <c r="F2902" t="s"/>
      <c r="G2902" t="s"/>
      <c r="H2902" t="s"/>
      <c r="I2902" t="s"/>
      <c r="J2902" t="n">
        <v>-0.5266999999999999</v>
      </c>
      <c r="K2902" t="n">
        <v>0.124</v>
      </c>
      <c r="L2902" t="n">
        <v>0.876</v>
      </c>
      <c r="M2902" t="n">
        <v>0</v>
      </c>
    </row>
    <row r="2903" spans="1:13">
      <c r="A2903" s="1">
        <f>HYPERLINK("http://www.twitter.com/NathanBLawrence/status/987787204175933440", "987787204175933440")</f>
        <v/>
      </c>
      <c r="B2903" s="2" t="n">
        <v>43211.84486111111</v>
      </c>
      <c r="C2903" t="n">
        <v>6</v>
      </c>
      <c r="D2903" t="n">
        <v>2</v>
      </c>
      <c r="E2903" t="s">
        <v>2903</v>
      </c>
      <c r="F2903" t="s"/>
      <c r="G2903" t="s"/>
      <c r="H2903" t="s"/>
      <c r="I2903" t="s"/>
      <c r="J2903" t="n">
        <v>-0.8056</v>
      </c>
      <c r="K2903" t="n">
        <v>0.218</v>
      </c>
      <c r="L2903" t="n">
        <v>0.782</v>
      </c>
      <c r="M2903" t="n">
        <v>0</v>
      </c>
    </row>
    <row r="2904" spans="1:13">
      <c r="A2904" s="1">
        <f>HYPERLINK("http://www.twitter.com/NathanBLawrence/status/987784525013909504", "987784525013909504")</f>
        <v/>
      </c>
      <c r="B2904" s="2" t="n">
        <v>43211.83746527778</v>
      </c>
      <c r="C2904" t="n">
        <v>0</v>
      </c>
      <c r="D2904" t="n">
        <v>523</v>
      </c>
      <c r="E2904" t="s">
        <v>2904</v>
      </c>
      <c r="F2904" t="s"/>
      <c r="G2904" t="s"/>
      <c r="H2904" t="s"/>
      <c r="I2904" t="s"/>
      <c r="J2904" t="n">
        <v>0.5473</v>
      </c>
      <c r="K2904" t="n">
        <v>0</v>
      </c>
      <c r="L2904" t="n">
        <v>0.862</v>
      </c>
      <c r="M2904" t="n">
        <v>0.138</v>
      </c>
    </row>
    <row r="2905" spans="1:13">
      <c r="A2905" s="1">
        <f>HYPERLINK("http://www.twitter.com/NathanBLawrence/status/987784416150798338", "987784416150798338")</f>
        <v/>
      </c>
      <c r="B2905" s="2" t="n">
        <v>43211.83716435185</v>
      </c>
      <c r="C2905" t="n">
        <v>0</v>
      </c>
      <c r="D2905" t="n">
        <v>1065</v>
      </c>
      <c r="E2905" t="s">
        <v>2905</v>
      </c>
      <c r="F2905" t="s"/>
      <c r="G2905" t="s"/>
      <c r="H2905" t="s"/>
      <c r="I2905" t="s"/>
      <c r="J2905" t="n">
        <v>-0.7443</v>
      </c>
      <c r="K2905" t="n">
        <v>0.298</v>
      </c>
      <c r="L2905" t="n">
        <v>0.59</v>
      </c>
      <c r="M2905" t="n">
        <v>0.112</v>
      </c>
    </row>
    <row r="2906" spans="1:13">
      <c r="A2906" s="1">
        <f>HYPERLINK("http://www.twitter.com/NathanBLawrence/status/987784154178764800", "987784154178764800")</f>
        <v/>
      </c>
      <c r="B2906" s="2" t="n">
        <v>43211.83644675926</v>
      </c>
      <c r="C2906" t="n">
        <v>3</v>
      </c>
      <c r="D2906" t="n">
        <v>0</v>
      </c>
      <c r="E2906" t="s">
        <v>2906</v>
      </c>
      <c r="F2906" t="s"/>
      <c r="G2906" t="s"/>
      <c r="H2906" t="s"/>
      <c r="I2906" t="s"/>
      <c r="J2906" t="n">
        <v>-0.4404</v>
      </c>
      <c r="K2906" t="n">
        <v>0.101</v>
      </c>
      <c r="L2906" t="n">
        <v>0.849</v>
      </c>
      <c r="M2906" t="n">
        <v>0.049</v>
      </c>
    </row>
    <row r="2907" spans="1:13">
      <c r="A2907" s="1">
        <f>HYPERLINK("http://www.twitter.com/NathanBLawrence/status/987783959785320448", "987783959785320448")</f>
        <v/>
      </c>
      <c r="B2907" s="2" t="n">
        <v>43211.83590277778</v>
      </c>
      <c r="C2907" t="n">
        <v>1</v>
      </c>
      <c r="D2907" t="n">
        <v>1</v>
      </c>
      <c r="E2907" t="s">
        <v>2907</v>
      </c>
      <c r="F2907" t="s"/>
      <c r="G2907" t="s"/>
      <c r="H2907" t="s"/>
      <c r="I2907" t="s"/>
      <c r="J2907" t="n">
        <v>-0.4404</v>
      </c>
      <c r="K2907" t="n">
        <v>0.107</v>
      </c>
      <c r="L2907" t="n">
        <v>0.841</v>
      </c>
      <c r="M2907" t="n">
        <v>0.052</v>
      </c>
    </row>
    <row r="2908" spans="1:13">
      <c r="A2908" s="1">
        <f>HYPERLINK("http://www.twitter.com/NathanBLawrence/status/987783795695734784", "987783795695734784")</f>
        <v/>
      </c>
      <c r="B2908" s="2" t="n">
        <v>43211.83545138889</v>
      </c>
      <c r="C2908" t="n">
        <v>2</v>
      </c>
      <c r="D2908" t="n">
        <v>2</v>
      </c>
      <c r="E2908" t="s">
        <v>2908</v>
      </c>
      <c r="F2908" t="s"/>
      <c r="G2908" t="s"/>
      <c r="H2908" t="s"/>
      <c r="I2908" t="s"/>
      <c r="J2908" t="n">
        <v>-0.4939</v>
      </c>
      <c r="K2908" t="n">
        <v>0.167</v>
      </c>
      <c r="L2908" t="n">
        <v>0.711</v>
      </c>
      <c r="M2908" t="n">
        <v>0.121</v>
      </c>
    </row>
    <row r="2909" spans="1:13">
      <c r="A2909" s="1">
        <f>HYPERLINK("http://www.twitter.com/NathanBLawrence/status/987783311996043264", "987783311996043264")</f>
        <v/>
      </c>
      <c r="B2909" s="2" t="n">
        <v>43211.83412037037</v>
      </c>
      <c r="C2909" t="n">
        <v>0</v>
      </c>
      <c r="D2909" t="n">
        <v>0</v>
      </c>
      <c r="E2909" t="s">
        <v>2909</v>
      </c>
      <c r="F2909" t="s"/>
      <c r="G2909" t="s"/>
      <c r="H2909" t="s"/>
      <c r="I2909" t="s"/>
      <c r="J2909" t="n">
        <v>-0.4404</v>
      </c>
      <c r="K2909" t="n">
        <v>0.107</v>
      </c>
      <c r="L2909" t="n">
        <v>0.841</v>
      </c>
      <c r="M2909" t="n">
        <v>0.052</v>
      </c>
    </row>
    <row r="2910" spans="1:13">
      <c r="A2910" s="1">
        <f>HYPERLINK("http://www.twitter.com/NathanBLawrence/status/987783186376617984", "987783186376617984")</f>
        <v/>
      </c>
      <c r="B2910" s="2" t="n">
        <v>43211.83377314815</v>
      </c>
      <c r="C2910" t="n">
        <v>0</v>
      </c>
      <c r="D2910" t="n">
        <v>0</v>
      </c>
      <c r="E2910" t="s">
        <v>2910</v>
      </c>
      <c r="F2910" t="s"/>
      <c r="G2910" t="s"/>
      <c r="H2910" t="s"/>
      <c r="I2910" t="s"/>
      <c r="J2910" t="n">
        <v>-0.826</v>
      </c>
      <c r="K2910" t="n">
        <v>0.257</v>
      </c>
      <c r="L2910" t="n">
        <v>0.659</v>
      </c>
      <c r="M2910" t="n">
        <v>0.08400000000000001</v>
      </c>
    </row>
    <row r="2911" spans="1:13">
      <c r="A2911" s="1">
        <f>HYPERLINK("http://www.twitter.com/NathanBLawrence/status/987783065383530499", "987783065383530499")</f>
        <v/>
      </c>
      <c r="B2911" s="2" t="n">
        <v>43211.8334375</v>
      </c>
      <c r="C2911" t="n">
        <v>0</v>
      </c>
      <c r="D2911" t="n">
        <v>0</v>
      </c>
      <c r="E2911" t="s">
        <v>2911</v>
      </c>
      <c r="F2911" t="s"/>
      <c r="G2911" t="s"/>
      <c r="H2911" t="s"/>
      <c r="I2911" t="s"/>
      <c r="J2911" t="n">
        <v>-0.826</v>
      </c>
      <c r="K2911" t="n">
        <v>0.257</v>
      </c>
      <c r="L2911" t="n">
        <v>0.659</v>
      </c>
      <c r="M2911" t="n">
        <v>0.08400000000000001</v>
      </c>
    </row>
    <row r="2912" spans="1:13">
      <c r="A2912" s="1">
        <f>HYPERLINK("http://www.twitter.com/NathanBLawrence/status/987777132808978432", "987777132808978432")</f>
        <v/>
      </c>
      <c r="B2912" s="2" t="n">
        <v>43211.81707175926</v>
      </c>
      <c r="C2912" t="n">
        <v>2</v>
      </c>
      <c r="D2912" t="n">
        <v>1</v>
      </c>
      <c r="E2912" t="s">
        <v>2912</v>
      </c>
      <c r="F2912" t="s"/>
      <c r="G2912" t="s"/>
      <c r="H2912" t="s"/>
      <c r="I2912" t="s"/>
      <c r="J2912" t="n">
        <v>-0.4404</v>
      </c>
      <c r="K2912" t="n">
        <v>0.104</v>
      </c>
      <c r="L2912" t="n">
        <v>0.845</v>
      </c>
      <c r="M2912" t="n">
        <v>0.051</v>
      </c>
    </row>
    <row r="2913" spans="1:13">
      <c r="A2913" s="1">
        <f>HYPERLINK("http://www.twitter.com/NathanBLawrence/status/987776749986447360", "987776749986447360")</f>
        <v/>
      </c>
      <c r="B2913" s="2" t="n">
        <v>43211.81600694444</v>
      </c>
      <c r="C2913" t="n">
        <v>1</v>
      </c>
      <c r="D2913" t="n">
        <v>0</v>
      </c>
      <c r="E2913" t="s">
        <v>2913</v>
      </c>
      <c r="F2913" t="s"/>
      <c r="G2913" t="s"/>
      <c r="H2913" t="s"/>
      <c r="I2913" t="s"/>
      <c r="J2913" t="n">
        <v>-0.4404</v>
      </c>
      <c r="K2913" t="n">
        <v>0.107</v>
      </c>
      <c r="L2913" t="n">
        <v>0.841</v>
      </c>
      <c r="M2913" t="n">
        <v>0.052</v>
      </c>
    </row>
    <row r="2914" spans="1:13">
      <c r="A2914" s="1">
        <f>HYPERLINK("http://www.twitter.com/NathanBLawrence/status/987775143366688768", "987775143366688768")</f>
        <v/>
      </c>
      <c r="B2914" s="2" t="n">
        <v>43211.81157407408</v>
      </c>
      <c r="C2914" t="n">
        <v>1</v>
      </c>
      <c r="D2914" t="n">
        <v>0</v>
      </c>
      <c r="E2914" t="s">
        <v>2914</v>
      </c>
      <c r="F2914">
        <f>HYPERLINK("http://pbs.twimg.com/media/DbVINkJVQAAQRZS.jpg", "http://pbs.twimg.com/media/DbVINkJVQAAQRZS.jpg")</f>
        <v/>
      </c>
      <c r="G2914" t="s"/>
      <c r="H2914" t="s"/>
      <c r="I2914" t="s"/>
      <c r="J2914" t="n">
        <v>-0.4939</v>
      </c>
      <c r="K2914" t="n">
        <v>0.122</v>
      </c>
      <c r="L2914" t="n">
        <v>0.79</v>
      </c>
      <c r="M2914" t="n">
        <v>0.08799999999999999</v>
      </c>
    </row>
    <row r="2915" spans="1:13">
      <c r="A2915" s="1">
        <f>HYPERLINK("http://www.twitter.com/NathanBLawrence/status/987772746804350977", "987772746804350977")</f>
        <v/>
      </c>
      <c r="B2915" s="2" t="n">
        <v>43211.80496527778</v>
      </c>
      <c r="C2915" t="n">
        <v>0</v>
      </c>
      <c r="D2915" t="n">
        <v>40</v>
      </c>
      <c r="E2915" t="s">
        <v>2915</v>
      </c>
      <c r="F2915">
        <f>HYPERLINK("http://pbs.twimg.com/media/DbFwgMsUMAAdOQ2.jpg", "http://pbs.twimg.com/media/DbFwgMsUMAAdOQ2.jpg")</f>
        <v/>
      </c>
      <c r="G2915">
        <f>HYPERLINK("http://pbs.twimg.com/media/DbFwgMtV4AAeuu2.jpg", "http://pbs.twimg.com/media/DbFwgMtV4AAeuu2.jpg")</f>
        <v/>
      </c>
      <c r="H2915">
        <f>HYPERLINK("http://pbs.twimg.com/media/DbFwgMsVMAA_lUT.jpg", "http://pbs.twimg.com/media/DbFwgMsVMAA_lUT.jpg")</f>
        <v/>
      </c>
      <c r="I2915">
        <f>HYPERLINK("http://pbs.twimg.com/media/DbFwgMsVAAA_q4L.jpg", "http://pbs.twimg.com/media/DbFwgMsVAAA_q4L.jpg")</f>
        <v/>
      </c>
      <c r="J2915" t="n">
        <v>0.6249</v>
      </c>
      <c r="K2915" t="n">
        <v>0</v>
      </c>
      <c r="L2915" t="n">
        <v>0.837</v>
      </c>
      <c r="M2915" t="n">
        <v>0.163</v>
      </c>
    </row>
    <row r="2916" spans="1:13">
      <c r="A2916" s="1">
        <f>HYPERLINK("http://www.twitter.com/NathanBLawrence/status/987772666755993600", "987772666755993600")</f>
        <v/>
      </c>
      <c r="B2916" s="2" t="n">
        <v>43211.80474537037</v>
      </c>
      <c r="C2916" t="n">
        <v>0</v>
      </c>
      <c r="D2916" t="n">
        <v>47</v>
      </c>
      <c r="E2916" t="s">
        <v>2916</v>
      </c>
      <c r="F2916">
        <f>HYPERLINK("http://pbs.twimg.com/media/DbGRJkDUMAAg8Oh.jpg", "http://pbs.twimg.com/media/DbGRJkDUMAAg8Oh.jpg")</f>
        <v/>
      </c>
      <c r="G2916" t="s"/>
      <c r="H2916" t="s"/>
      <c r="I2916" t="s"/>
      <c r="J2916" t="n">
        <v>0.6249</v>
      </c>
      <c r="K2916" t="n">
        <v>0</v>
      </c>
      <c r="L2916" t="n">
        <v>0.823</v>
      </c>
      <c r="M2916" t="n">
        <v>0.177</v>
      </c>
    </row>
    <row r="2917" spans="1:13">
      <c r="A2917" s="1">
        <f>HYPERLINK("http://www.twitter.com/NathanBLawrence/status/987772557905424386", "987772557905424386")</f>
        <v/>
      </c>
      <c r="B2917" s="2" t="n">
        <v>43211.80444444445</v>
      </c>
      <c r="C2917" t="n">
        <v>0</v>
      </c>
      <c r="D2917" t="n">
        <v>34</v>
      </c>
      <c r="E2917" t="s">
        <v>2917</v>
      </c>
      <c r="F2917">
        <f>HYPERLINK("http://pbs.twimg.com/media/DbLaDBRVQAElvdY.jpg", "http://pbs.twimg.com/media/DbLaDBRVQAElvdY.jpg")</f>
        <v/>
      </c>
      <c r="G2917">
        <f>HYPERLINK("http://pbs.twimg.com/media/DbLaDBSV4AEEGZp.jpg", "http://pbs.twimg.com/media/DbLaDBSV4AEEGZp.jpg")</f>
        <v/>
      </c>
      <c r="H2917">
        <f>HYPERLINK("http://pbs.twimg.com/media/DbLaDBSUwAATmKi.jpg", "http://pbs.twimg.com/media/DbLaDBSUwAATmKi.jpg")</f>
        <v/>
      </c>
      <c r="I2917" t="s"/>
      <c r="J2917" t="n">
        <v>0.7906</v>
      </c>
      <c r="K2917" t="n">
        <v>0.05</v>
      </c>
      <c r="L2917" t="n">
        <v>0.647</v>
      </c>
      <c r="M2917" t="n">
        <v>0.302</v>
      </c>
    </row>
    <row r="2918" spans="1:13">
      <c r="A2918" s="1">
        <f>HYPERLINK("http://www.twitter.com/NathanBLawrence/status/987772424350396416", "987772424350396416")</f>
        <v/>
      </c>
      <c r="B2918" s="2" t="n">
        <v>43211.80407407408</v>
      </c>
      <c r="C2918" t="n">
        <v>4</v>
      </c>
      <c r="D2918" t="n">
        <v>2</v>
      </c>
      <c r="E2918" t="s">
        <v>2918</v>
      </c>
      <c r="F2918" t="s"/>
      <c r="G2918" t="s"/>
      <c r="H2918" t="s"/>
      <c r="I2918" t="s"/>
      <c r="J2918" t="n">
        <v>-0.5266999999999999</v>
      </c>
      <c r="K2918" t="n">
        <v>0.124</v>
      </c>
      <c r="L2918" t="n">
        <v>0.876</v>
      </c>
      <c r="M2918" t="n">
        <v>0</v>
      </c>
    </row>
    <row r="2919" spans="1:13">
      <c r="A2919" s="1">
        <f>HYPERLINK("http://www.twitter.com/NathanBLawrence/status/987772336123203584", "987772336123203584")</f>
        <v/>
      </c>
      <c r="B2919" s="2" t="n">
        <v>43211.80383101852</v>
      </c>
      <c r="C2919" t="n">
        <v>3</v>
      </c>
      <c r="D2919" t="n">
        <v>1</v>
      </c>
      <c r="E2919" t="s">
        <v>2919</v>
      </c>
      <c r="F2919" t="s"/>
      <c r="G2919" t="s"/>
      <c r="H2919" t="s"/>
      <c r="I2919" t="s"/>
      <c r="J2919" t="n">
        <v>-0.5266999999999999</v>
      </c>
      <c r="K2919" t="n">
        <v>0.124</v>
      </c>
      <c r="L2919" t="n">
        <v>0.876</v>
      </c>
      <c r="M2919" t="n">
        <v>0</v>
      </c>
    </row>
    <row r="2920" spans="1:13">
      <c r="A2920" s="1">
        <f>HYPERLINK("http://www.twitter.com/NathanBLawrence/status/987772114672365573", "987772114672365573")</f>
        <v/>
      </c>
      <c r="B2920" s="2" t="n">
        <v>43211.80321759259</v>
      </c>
      <c r="C2920" t="n">
        <v>3</v>
      </c>
      <c r="D2920" t="n">
        <v>0</v>
      </c>
      <c r="E2920" t="s">
        <v>2920</v>
      </c>
      <c r="F2920" t="s"/>
      <c r="G2920" t="s"/>
      <c r="H2920" t="s"/>
      <c r="I2920" t="s"/>
      <c r="J2920" t="n">
        <v>-0.5266999999999999</v>
      </c>
      <c r="K2920" t="n">
        <v>0.124</v>
      </c>
      <c r="L2920" t="n">
        <v>0.876</v>
      </c>
      <c r="M2920" t="n">
        <v>0</v>
      </c>
    </row>
    <row r="2921" spans="1:13">
      <c r="A2921" s="1">
        <f>HYPERLINK("http://www.twitter.com/NathanBLawrence/status/987771146824073217", "987771146824073217")</f>
        <v/>
      </c>
      <c r="B2921" s="2" t="n">
        <v>43211.80054398148</v>
      </c>
      <c r="C2921" t="n">
        <v>0</v>
      </c>
      <c r="D2921" t="n">
        <v>2</v>
      </c>
      <c r="E2921" t="s">
        <v>2921</v>
      </c>
      <c r="F2921" t="s"/>
      <c r="G2921" t="s"/>
      <c r="H2921" t="s"/>
      <c r="I2921" t="s"/>
      <c r="J2921" t="n">
        <v>-0.5266999999999999</v>
      </c>
      <c r="K2921" t="n">
        <v>0.195</v>
      </c>
      <c r="L2921" t="n">
        <v>0.805</v>
      </c>
      <c r="M2921" t="n">
        <v>0</v>
      </c>
    </row>
    <row r="2922" spans="1:13">
      <c r="A2922" s="1">
        <f>HYPERLINK("http://www.twitter.com/NathanBLawrence/status/987771130063671297", "987771130063671297")</f>
        <v/>
      </c>
      <c r="B2922" s="2" t="n">
        <v>43211.80049768519</v>
      </c>
      <c r="C2922" t="n">
        <v>1</v>
      </c>
      <c r="D2922" t="n">
        <v>2</v>
      </c>
      <c r="E2922" t="s">
        <v>2922</v>
      </c>
      <c r="F2922" t="s"/>
      <c r="G2922" t="s"/>
      <c r="H2922" t="s"/>
      <c r="I2922" t="s"/>
      <c r="J2922" t="n">
        <v>-0.5266999999999999</v>
      </c>
      <c r="K2922" t="n">
        <v>0.134</v>
      </c>
      <c r="L2922" t="n">
        <v>0.866</v>
      </c>
      <c r="M2922" t="n">
        <v>0</v>
      </c>
    </row>
    <row r="2923" spans="1:13">
      <c r="A2923" s="1">
        <f>HYPERLINK("http://www.twitter.com/NathanBLawrence/status/987770804824825856", "987770804824825856")</f>
        <v/>
      </c>
      <c r="B2923" s="2" t="n">
        <v>43211.79960648148</v>
      </c>
      <c r="C2923" t="n">
        <v>0</v>
      </c>
      <c r="D2923" t="n">
        <v>0</v>
      </c>
      <c r="E2923" t="s">
        <v>2923</v>
      </c>
      <c r="F2923" t="s"/>
      <c r="G2923" t="s"/>
      <c r="H2923" t="s"/>
      <c r="I2923" t="s"/>
      <c r="J2923" t="n">
        <v>0</v>
      </c>
      <c r="K2923" t="n">
        <v>0</v>
      </c>
      <c r="L2923" t="n">
        <v>1</v>
      </c>
      <c r="M2923" t="n">
        <v>0</v>
      </c>
    </row>
    <row r="2924" spans="1:13">
      <c r="A2924" s="1">
        <f>HYPERLINK("http://www.twitter.com/NathanBLawrence/status/987769665492471808", "987769665492471808")</f>
        <v/>
      </c>
      <c r="B2924" s="2" t="n">
        <v>43211.79645833333</v>
      </c>
      <c r="C2924" t="n">
        <v>0</v>
      </c>
      <c r="D2924" t="n">
        <v>23</v>
      </c>
      <c r="E2924" t="s">
        <v>2924</v>
      </c>
      <c r="F2924" t="s"/>
      <c r="G2924" t="s"/>
      <c r="H2924" t="s"/>
      <c r="I2924" t="s"/>
      <c r="J2924" t="n">
        <v>-0.34</v>
      </c>
      <c r="K2924" t="n">
        <v>0.094</v>
      </c>
      <c r="L2924" t="n">
        <v>0.906</v>
      </c>
      <c r="M2924" t="n">
        <v>0</v>
      </c>
    </row>
    <row r="2925" spans="1:13">
      <c r="A2925" s="1">
        <f>HYPERLINK("http://www.twitter.com/NathanBLawrence/status/987769589604872192", "987769589604872192")</f>
        <v/>
      </c>
      <c r="B2925" s="2" t="n">
        <v>43211.79625</v>
      </c>
      <c r="C2925" t="n">
        <v>0</v>
      </c>
      <c r="D2925" t="n">
        <v>62</v>
      </c>
      <c r="E2925" t="s">
        <v>2925</v>
      </c>
      <c r="F2925" t="s"/>
      <c r="G2925" t="s"/>
      <c r="H2925" t="s"/>
      <c r="I2925" t="s"/>
      <c r="J2925" t="n">
        <v>0.7964</v>
      </c>
      <c r="K2925" t="n">
        <v>0</v>
      </c>
      <c r="L2925" t="n">
        <v>0.6870000000000001</v>
      </c>
      <c r="M2925" t="n">
        <v>0.313</v>
      </c>
    </row>
    <row r="2926" spans="1:13">
      <c r="A2926" s="1">
        <f>HYPERLINK("http://www.twitter.com/NathanBLawrence/status/987769448277753856", "987769448277753856")</f>
        <v/>
      </c>
      <c r="B2926" s="2" t="n">
        <v>43211.79585648148</v>
      </c>
      <c r="C2926" t="n">
        <v>0</v>
      </c>
      <c r="D2926" t="n">
        <v>2</v>
      </c>
      <c r="E2926" t="s">
        <v>2926</v>
      </c>
      <c r="F2926" t="s"/>
      <c r="G2926" t="s"/>
      <c r="H2926" t="s"/>
      <c r="I2926" t="s"/>
      <c r="J2926" t="n">
        <v>0.6486</v>
      </c>
      <c r="K2926" t="n">
        <v>0</v>
      </c>
      <c r="L2926" t="n">
        <v>0.569</v>
      </c>
      <c r="M2926" t="n">
        <v>0.431</v>
      </c>
    </row>
    <row r="2927" spans="1:13">
      <c r="A2927" s="1">
        <f>HYPERLINK("http://www.twitter.com/NathanBLawrence/status/987769328954048512", "987769328954048512")</f>
        <v/>
      </c>
      <c r="B2927" s="2" t="n">
        <v>43211.79553240741</v>
      </c>
      <c r="C2927" t="n">
        <v>0</v>
      </c>
      <c r="D2927" t="n">
        <v>396</v>
      </c>
      <c r="E2927" t="s">
        <v>2927</v>
      </c>
      <c r="F2927">
        <f>HYPERLINK("http://pbs.twimg.com/media/DbUHsqGX4AEpc5B.jpg", "http://pbs.twimg.com/media/DbUHsqGX4AEpc5B.jpg")</f>
        <v/>
      </c>
      <c r="G2927" t="s"/>
      <c r="H2927" t="s"/>
      <c r="I2927" t="s"/>
      <c r="J2927" t="n">
        <v>0</v>
      </c>
      <c r="K2927" t="n">
        <v>0</v>
      </c>
      <c r="L2927" t="n">
        <v>1</v>
      </c>
      <c r="M2927" t="n">
        <v>0</v>
      </c>
    </row>
    <row r="2928" spans="1:13">
      <c r="A2928" s="1">
        <f>HYPERLINK("http://www.twitter.com/NathanBLawrence/status/987768867668688896", "987768867668688896")</f>
        <v/>
      </c>
      <c r="B2928" s="2" t="n">
        <v>43211.79425925926</v>
      </c>
      <c r="C2928" t="n">
        <v>0</v>
      </c>
      <c r="D2928" t="n">
        <v>1029</v>
      </c>
      <c r="E2928" t="s">
        <v>2928</v>
      </c>
      <c r="F2928" t="s"/>
      <c r="G2928" t="s"/>
      <c r="H2928" t="s"/>
      <c r="I2928" t="s"/>
      <c r="J2928" t="n">
        <v>0.3612</v>
      </c>
      <c r="K2928" t="n">
        <v>0</v>
      </c>
      <c r="L2928" t="n">
        <v>0.898</v>
      </c>
      <c r="M2928" t="n">
        <v>0.102</v>
      </c>
    </row>
    <row r="2929" spans="1:13">
      <c r="A2929" s="1">
        <f>HYPERLINK("http://www.twitter.com/NathanBLawrence/status/987768818482098176", "987768818482098176")</f>
        <v/>
      </c>
      <c r="B2929" s="2" t="n">
        <v>43211.79412037037</v>
      </c>
      <c r="C2929" t="n">
        <v>0</v>
      </c>
      <c r="D2929" t="n">
        <v>496</v>
      </c>
      <c r="E2929" t="s">
        <v>2929</v>
      </c>
      <c r="F2929">
        <f>HYPERLINK("http://pbs.twimg.com/media/DbTVYKTVwAAtpHr.jpg", "http://pbs.twimg.com/media/DbTVYKTVwAAtpHr.jpg")</f>
        <v/>
      </c>
      <c r="G2929" t="s"/>
      <c r="H2929" t="s"/>
      <c r="I2929" t="s"/>
      <c r="J2929" t="n">
        <v>-0.34</v>
      </c>
      <c r="K2929" t="n">
        <v>0.112</v>
      </c>
      <c r="L2929" t="n">
        <v>0.888</v>
      </c>
      <c r="M2929" t="n">
        <v>0</v>
      </c>
    </row>
    <row r="2930" spans="1:13">
      <c r="A2930" s="1">
        <f>HYPERLINK("http://www.twitter.com/NathanBLawrence/status/987768630191386624", "987768630191386624")</f>
        <v/>
      </c>
      <c r="B2930" s="2" t="n">
        <v>43211.79359953704</v>
      </c>
      <c r="C2930" t="n">
        <v>0</v>
      </c>
      <c r="D2930" t="n">
        <v>2136</v>
      </c>
      <c r="E2930" t="s">
        <v>2930</v>
      </c>
      <c r="F2930" t="s"/>
      <c r="G2930" t="s"/>
      <c r="H2930" t="s"/>
      <c r="I2930" t="s"/>
      <c r="J2930" t="n">
        <v>-0.6996</v>
      </c>
      <c r="K2930" t="n">
        <v>0.201</v>
      </c>
      <c r="L2930" t="n">
        <v>0.799</v>
      </c>
      <c r="M2930" t="n">
        <v>0</v>
      </c>
    </row>
    <row r="2931" spans="1:13">
      <c r="A2931" s="1">
        <f>HYPERLINK("http://www.twitter.com/NathanBLawrence/status/987768534225711104", "987768534225711104")</f>
        <v/>
      </c>
      <c r="B2931" s="2" t="n">
        <v>43211.7933449074</v>
      </c>
      <c r="C2931" t="n">
        <v>0</v>
      </c>
      <c r="D2931" t="n">
        <v>517</v>
      </c>
      <c r="E2931" t="s">
        <v>2931</v>
      </c>
      <c r="F2931" t="s"/>
      <c r="G2931" t="s"/>
      <c r="H2931" t="s"/>
      <c r="I2931" t="s"/>
      <c r="J2931" t="n">
        <v>-0.2023</v>
      </c>
      <c r="K2931" t="n">
        <v>0.083</v>
      </c>
      <c r="L2931" t="n">
        <v>0.917</v>
      </c>
      <c r="M2931" t="n">
        <v>0</v>
      </c>
    </row>
    <row r="2932" spans="1:13">
      <c r="A2932" s="1">
        <f>HYPERLINK("http://www.twitter.com/NathanBLawrence/status/987768148827914240", "987768148827914240")</f>
        <v/>
      </c>
      <c r="B2932" s="2" t="n">
        <v>43211.7922800926</v>
      </c>
      <c r="C2932" t="n">
        <v>0</v>
      </c>
      <c r="D2932" t="n">
        <v>825</v>
      </c>
      <c r="E2932" t="s">
        <v>2932</v>
      </c>
      <c r="F2932">
        <f>HYPERLINK("http://pbs.twimg.com/media/DbUUCXSV4AAb3pG.jpg", "http://pbs.twimg.com/media/DbUUCXSV4AAb3pG.jpg")</f>
        <v/>
      </c>
      <c r="G2932" t="s"/>
      <c r="H2932" t="s"/>
      <c r="I2932" t="s"/>
      <c r="J2932" t="n">
        <v>-0.1511</v>
      </c>
      <c r="K2932" t="n">
        <v>0.077</v>
      </c>
      <c r="L2932" t="n">
        <v>0.923</v>
      </c>
      <c r="M2932" t="n">
        <v>0</v>
      </c>
    </row>
    <row r="2933" spans="1:13">
      <c r="A2933" s="1">
        <f>HYPERLINK("http://www.twitter.com/NathanBLawrence/status/987768059854139394", "987768059854139394")</f>
        <v/>
      </c>
      <c r="B2933" s="2" t="n">
        <v>43211.79202546296</v>
      </c>
      <c r="C2933" t="n">
        <v>0</v>
      </c>
      <c r="D2933" t="n">
        <v>765</v>
      </c>
      <c r="E2933" t="s">
        <v>2933</v>
      </c>
      <c r="F2933">
        <f>HYPERLINK("http://pbs.twimg.com/media/DbUo12bV4AAfayY.jpg", "http://pbs.twimg.com/media/DbUo12bV4AAfayY.jpg")</f>
        <v/>
      </c>
      <c r="G2933" t="s"/>
      <c r="H2933" t="s"/>
      <c r="I2933" t="s"/>
      <c r="J2933" t="n">
        <v>0</v>
      </c>
      <c r="K2933" t="n">
        <v>0</v>
      </c>
      <c r="L2933" t="n">
        <v>1</v>
      </c>
      <c r="M2933" t="n">
        <v>0</v>
      </c>
    </row>
    <row r="2934" spans="1:13">
      <c r="A2934" s="1">
        <f>HYPERLINK("http://www.twitter.com/NathanBLawrence/status/987767878265982976", "987767878265982976")</f>
        <v/>
      </c>
      <c r="B2934" s="2" t="n">
        <v>43211.79152777778</v>
      </c>
      <c r="C2934" t="n">
        <v>3</v>
      </c>
      <c r="D2934" t="n">
        <v>4</v>
      </c>
      <c r="E2934" t="s">
        <v>2934</v>
      </c>
      <c r="F2934" t="s"/>
      <c r="G2934" t="s"/>
      <c r="H2934" t="s"/>
      <c r="I2934" t="s"/>
      <c r="J2934" t="n">
        <v>-0.6662</v>
      </c>
      <c r="K2934" t="n">
        <v>0.229</v>
      </c>
      <c r="L2934" t="n">
        <v>0.771</v>
      </c>
      <c r="M2934" t="n">
        <v>0</v>
      </c>
    </row>
    <row r="2935" spans="1:13">
      <c r="A2935" s="1">
        <f>HYPERLINK("http://www.twitter.com/NathanBLawrence/status/987766475241934848", "987766475241934848")</f>
        <v/>
      </c>
      <c r="B2935" s="2" t="n">
        <v>43211.78766203704</v>
      </c>
      <c r="C2935" t="n">
        <v>0</v>
      </c>
      <c r="D2935" t="n">
        <v>467</v>
      </c>
      <c r="E2935" t="s">
        <v>2935</v>
      </c>
      <c r="F2935" t="s"/>
      <c r="G2935" t="s"/>
      <c r="H2935" t="s"/>
      <c r="I2935" t="s"/>
      <c r="J2935" t="n">
        <v>0.09719999999999999</v>
      </c>
      <c r="K2935" t="n">
        <v>0.101</v>
      </c>
      <c r="L2935" t="n">
        <v>0.784</v>
      </c>
      <c r="M2935" t="n">
        <v>0.115</v>
      </c>
    </row>
    <row r="2936" spans="1:13">
      <c r="A2936" s="1">
        <f>HYPERLINK("http://www.twitter.com/NathanBLawrence/status/987766355553275904", "987766355553275904")</f>
        <v/>
      </c>
      <c r="B2936" s="2" t="n">
        <v>43211.78732638889</v>
      </c>
      <c r="C2936" t="n">
        <v>0</v>
      </c>
      <c r="D2936" t="n">
        <v>102</v>
      </c>
      <c r="E2936" t="s">
        <v>2936</v>
      </c>
      <c r="F2936">
        <f>HYPERLINK("http://pbs.twimg.com/media/DbUOefgU8AAC64s.jpg", "http://pbs.twimg.com/media/DbUOefgU8AAC64s.jpg")</f>
        <v/>
      </c>
      <c r="G2936" t="s"/>
      <c r="H2936" t="s"/>
      <c r="I2936" t="s"/>
      <c r="J2936" t="n">
        <v>0.1531</v>
      </c>
      <c r="K2936" t="n">
        <v>0.079</v>
      </c>
      <c r="L2936" t="n">
        <v>0.821</v>
      </c>
      <c r="M2936" t="n">
        <v>0.1</v>
      </c>
    </row>
    <row r="2937" spans="1:13">
      <c r="A2937" s="1">
        <f>HYPERLINK("http://www.twitter.com/NathanBLawrence/status/987766206026334208", "987766206026334208")</f>
        <v/>
      </c>
      <c r="B2937" s="2" t="n">
        <v>43211.78690972222</v>
      </c>
      <c r="C2937" t="n">
        <v>0</v>
      </c>
      <c r="D2937" t="n">
        <v>397</v>
      </c>
      <c r="E2937" t="s">
        <v>2937</v>
      </c>
      <c r="F2937" t="s"/>
      <c r="G2937" t="s"/>
      <c r="H2937" t="s"/>
      <c r="I2937" t="s"/>
      <c r="J2937" t="n">
        <v>0</v>
      </c>
      <c r="K2937" t="n">
        <v>0</v>
      </c>
      <c r="L2937" t="n">
        <v>1</v>
      </c>
      <c r="M2937" t="n">
        <v>0</v>
      </c>
    </row>
    <row r="2938" spans="1:13">
      <c r="A2938" s="1">
        <f>HYPERLINK("http://www.twitter.com/NathanBLawrence/status/987766168931811328", "987766168931811328")</f>
        <v/>
      </c>
      <c r="B2938" s="2" t="n">
        <v>43211.78681712963</v>
      </c>
      <c r="C2938" t="n">
        <v>0</v>
      </c>
      <c r="D2938" t="n">
        <v>773</v>
      </c>
      <c r="E2938" t="s">
        <v>2938</v>
      </c>
      <c r="F2938">
        <f>HYPERLINK("http://pbs.twimg.com/media/DbUc5zaVMAApimg.jpg", "http://pbs.twimg.com/media/DbUc5zaVMAApimg.jpg")</f>
        <v/>
      </c>
      <c r="G2938">
        <f>HYPERLINK("http://pbs.twimg.com/media/DbUc5yxUQAAlRER.jpg", "http://pbs.twimg.com/media/DbUc5yxUQAAlRER.jpg")</f>
        <v/>
      </c>
      <c r="H2938" t="s"/>
      <c r="I2938" t="s"/>
      <c r="J2938" t="n">
        <v>-0.4215</v>
      </c>
      <c r="K2938" t="n">
        <v>0.118</v>
      </c>
      <c r="L2938" t="n">
        <v>0.882</v>
      </c>
      <c r="M2938" t="n">
        <v>0</v>
      </c>
    </row>
    <row r="2939" spans="1:13">
      <c r="A2939" s="1">
        <f>HYPERLINK("http://www.twitter.com/NathanBLawrence/status/987766053278175233", "987766053278175233")</f>
        <v/>
      </c>
      <c r="B2939" s="2" t="n">
        <v>43211.78649305556</v>
      </c>
      <c r="C2939" t="n">
        <v>0</v>
      </c>
      <c r="D2939" t="n">
        <v>1469</v>
      </c>
      <c r="E2939" t="s">
        <v>2939</v>
      </c>
      <c r="F2939">
        <f>HYPERLINK("https://video.twimg.com/amplify_video/983477821568897025/vid/1280x720/AZ1s7FuOaAxspOdy.mp4?tag=2", "https://video.twimg.com/amplify_video/983477821568897025/vid/1280x720/AZ1s7FuOaAxspOdy.mp4?tag=2")</f>
        <v/>
      </c>
      <c r="G2939" t="s"/>
      <c r="H2939" t="s"/>
      <c r="I2939" t="s"/>
      <c r="J2939" t="n">
        <v>-0.743</v>
      </c>
      <c r="K2939" t="n">
        <v>0.249</v>
      </c>
      <c r="L2939" t="n">
        <v>0.751</v>
      </c>
      <c r="M2939" t="n">
        <v>0</v>
      </c>
    </row>
    <row r="2940" spans="1:13">
      <c r="A2940" s="1">
        <f>HYPERLINK("http://www.twitter.com/NathanBLawrence/status/987765982180462592", "987765982180462592")</f>
        <v/>
      </c>
      <c r="B2940" s="2" t="n">
        <v>43211.7862962963</v>
      </c>
      <c r="C2940" t="n">
        <v>0</v>
      </c>
      <c r="D2940" t="n">
        <v>352</v>
      </c>
      <c r="E2940" t="s">
        <v>2940</v>
      </c>
      <c r="F2940" t="s"/>
      <c r="G2940" t="s"/>
      <c r="H2940" t="s"/>
      <c r="I2940" t="s"/>
      <c r="J2940" t="n">
        <v>0.3595</v>
      </c>
      <c r="K2940" t="n">
        <v>0</v>
      </c>
      <c r="L2940" t="n">
        <v>0.906</v>
      </c>
      <c r="M2940" t="n">
        <v>0.094</v>
      </c>
    </row>
    <row r="2941" spans="1:13">
      <c r="A2941" s="1">
        <f>HYPERLINK("http://www.twitter.com/NathanBLawrence/status/987765879457824768", "987765879457824768")</f>
        <v/>
      </c>
      <c r="B2941" s="2" t="n">
        <v>43211.78601851852</v>
      </c>
      <c r="C2941" t="n">
        <v>0</v>
      </c>
      <c r="D2941" t="n">
        <v>4203</v>
      </c>
      <c r="E2941" t="s">
        <v>2941</v>
      </c>
      <c r="F2941" t="s"/>
      <c r="G2941" t="s"/>
      <c r="H2941" t="s"/>
      <c r="I2941" t="s"/>
      <c r="J2941" t="n">
        <v>0.875</v>
      </c>
      <c r="K2941" t="n">
        <v>0</v>
      </c>
      <c r="L2941" t="n">
        <v>0.667</v>
      </c>
      <c r="M2941" t="n">
        <v>0.333</v>
      </c>
    </row>
    <row r="2942" spans="1:13">
      <c r="A2942" s="1">
        <f>HYPERLINK("http://www.twitter.com/NathanBLawrence/status/987765825263230976", "987765825263230976")</f>
        <v/>
      </c>
      <c r="B2942" s="2" t="n">
        <v>43211.78586805556</v>
      </c>
      <c r="C2942" t="n">
        <v>0</v>
      </c>
      <c r="D2942" t="n">
        <v>4388</v>
      </c>
      <c r="E2942" t="s">
        <v>2942</v>
      </c>
      <c r="F2942" t="s"/>
      <c r="G2942" t="s"/>
      <c r="H2942" t="s"/>
      <c r="I2942" t="s"/>
      <c r="J2942" t="n">
        <v>0.3034</v>
      </c>
      <c r="K2942" t="n">
        <v>0.083</v>
      </c>
      <c r="L2942" t="n">
        <v>0.786</v>
      </c>
      <c r="M2942" t="n">
        <v>0.131</v>
      </c>
    </row>
    <row r="2943" spans="1:13">
      <c r="A2943" s="1">
        <f>HYPERLINK("http://www.twitter.com/NathanBLawrence/status/987765760855429120", "987765760855429120")</f>
        <v/>
      </c>
      <c r="B2943" s="2" t="n">
        <v>43211.78568287037</v>
      </c>
      <c r="C2943" t="n">
        <v>0</v>
      </c>
      <c r="D2943" t="n">
        <v>621</v>
      </c>
      <c r="E2943" t="s">
        <v>2943</v>
      </c>
      <c r="F2943" t="s"/>
      <c r="G2943" t="s"/>
      <c r="H2943" t="s"/>
      <c r="I2943" t="s"/>
      <c r="J2943" t="n">
        <v>0.5803</v>
      </c>
      <c r="K2943" t="n">
        <v>0.111</v>
      </c>
      <c r="L2943" t="n">
        <v>0.654</v>
      </c>
      <c r="M2943" t="n">
        <v>0.234</v>
      </c>
    </row>
    <row r="2944" spans="1:13">
      <c r="A2944" s="1">
        <f>HYPERLINK("http://www.twitter.com/NathanBLawrence/status/987765555477151744", "987765555477151744")</f>
        <v/>
      </c>
      <c r="B2944" s="2" t="n">
        <v>43211.78511574074</v>
      </c>
      <c r="C2944" t="n">
        <v>0</v>
      </c>
      <c r="D2944" t="n">
        <v>1093</v>
      </c>
      <c r="E2944" t="s">
        <v>2944</v>
      </c>
      <c r="F2944" t="s"/>
      <c r="G2944" t="s"/>
      <c r="H2944" t="s"/>
      <c r="I2944" t="s"/>
      <c r="J2944" t="n">
        <v>0.8625</v>
      </c>
      <c r="K2944" t="n">
        <v>0</v>
      </c>
      <c r="L2944" t="n">
        <v>0.6860000000000001</v>
      </c>
      <c r="M2944" t="n">
        <v>0.314</v>
      </c>
    </row>
    <row r="2945" spans="1:13">
      <c r="A2945" s="1">
        <f>HYPERLINK("http://www.twitter.com/NathanBLawrence/status/987765462241964033", "987765462241964033")</f>
        <v/>
      </c>
      <c r="B2945" s="2" t="n">
        <v>43211.78486111111</v>
      </c>
      <c r="C2945" t="n">
        <v>0</v>
      </c>
      <c r="D2945" t="n">
        <v>1279</v>
      </c>
      <c r="E2945" t="s">
        <v>2945</v>
      </c>
      <c r="F2945" t="s"/>
      <c r="G2945" t="s"/>
      <c r="H2945" t="s"/>
      <c r="I2945" t="s"/>
      <c r="J2945" t="n">
        <v>-0.0258</v>
      </c>
      <c r="K2945" t="n">
        <v>0.114</v>
      </c>
      <c r="L2945" t="n">
        <v>0.775</v>
      </c>
      <c r="M2945" t="n">
        <v>0.111</v>
      </c>
    </row>
    <row r="2946" spans="1:13">
      <c r="A2946" s="1">
        <f>HYPERLINK("http://www.twitter.com/NathanBLawrence/status/987765205449912320", "987765205449912320")</f>
        <v/>
      </c>
      <c r="B2946" s="2" t="n">
        <v>43211.7841550926</v>
      </c>
      <c r="C2946" t="n">
        <v>0</v>
      </c>
      <c r="D2946" t="n">
        <v>383</v>
      </c>
      <c r="E2946" t="s">
        <v>2946</v>
      </c>
      <c r="F2946" t="s"/>
      <c r="G2946" t="s"/>
      <c r="H2946" t="s"/>
      <c r="I2946" t="s"/>
      <c r="J2946" t="n">
        <v>0.3612</v>
      </c>
      <c r="K2946" t="n">
        <v>0</v>
      </c>
      <c r="L2946" t="n">
        <v>0.898</v>
      </c>
      <c r="M2946" t="n">
        <v>0.102</v>
      </c>
    </row>
    <row r="2947" spans="1:13">
      <c r="A2947" s="1">
        <f>HYPERLINK("http://www.twitter.com/NathanBLawrence/status/987765121509343232", "987765121509343232")</f>
        <v/>
      </c>
      <c r="B2947" s="2" t="n">
        <v>43211.78392361111</v>
      </c>
      <c r="C2947" t="n">
        <v>0</v>
      </c>
      <c r="D2947" t="n">
        <v>0</v>
      </c>
      <c r="E2947" t="s">
        <v>2947</v>
      </c>
      <c r="F2947" t="s"/>
      <c r="G2947" t="s"/>
      <c r="H2947" t="s"/>
      <c r="I2947" t="s"/>
      <c r="J2947" t="n">
        <v>0</v>
      </c>
      <c r="K2947" t="n">
        <v>0</v>
      </c>
      <c r="L2947" t="n">
        <v>1</v>
      </c>
      <c r="M2947" t="n">
        <v>0</v>
      </c>
    </row>
    <row r="2948" spans="1:13">
      <c r="A2948" s="1">
        <f>HYPERLINK("http://www.twitter.com/NathanBLawrence/status/987764728620498944", "987764728620498944")</f>
        <v/>
      </c>
      <c r="B2948" s="2" t="n">
        <v>43211.78283564815</v>
      </c>
      <c r="C2948" t="n">
        <v>0</v>
      </c>
      <c r="D2948" t="n">
        <v>4172</v>
      </c>
      <c r="E2948" t="s">
        <v>2948</v>
      </c>
      <c r="F2948" t="s"/>
      <c r="G2948" t="s"/>
      <c r="H2948" t="s"/>
      <c r="I2948" t="s"/>
      <c r="J2948" t="n">
        <v>-0.1531</v>
      </c>
      <c r="K2948" t="n">
        <v>0.107</v>
      </c>
      <c r="L2948" t="n">
        <v>0.8090000000000001</v>
      </c>
      <c r="M2948" t="n">
        <v>0.08500000000000001</v>
      </c>
    </row>
    <row r="2949" spans="1:13">
      <c r="A2949" s="1">
        <f>HYPERLINK("http://www.twitter.com/NathanBLawrence/status/987764665047384064", "987764665047384064")</f>
        <v/>
      </c>
      <c r="B2949" s="2" t="n">
        <v>43211.78266203704</v>
      </c>
      <c r="C2949" t="n">
        <v>0</v>
      </c>
      <c r="D2949" t="n">
        <v>0</v>
      </c>
      <c r="E2949" t="s">
        <v>2949</v>
      </c>
      <c r="F2949" t="s"/>
      <c r="G2949" t="s"/>
      <c r="H2949" t="s"/>
      <c r="I2949" t="s"/>
      <c r="J2949" t="n">
        <v>0</v>
      </c>
      <c r="K2949" t="n">
        <v>0</v>
      </c>
      <c r="L2949" t="n">
        <v>1</v>
      </c>
      <c r="M2949" t="n">
        <v>0</v>
      </c>
    </row>
    <row r="2950" spans="1:13">
      <c r="A2950" s="1">
        <f>HYPERLINK("http://www.twitter.com/NathanBLawrence/status/987764510109745157", "987764510109745157")</f>
        <v/>
      </c>
      <c r="B2950" s="2" t="n">
        <v>43211.78223379629</v>
      </c>
      <c r="C2950" t="n">
        <v>0</v>
      </c>
      <c r="D2950" t="n">
        <v>4080</v>
      </c>
      <c r="E2950" t="s">
        <v>2950</v>
      </c>
      <c r="F2950" t="s"/>
      <c r="G2950" t="s"/>
      <c r="H2950" t="s"/>
      <c r="I2950" t="s"/>
      <c r="J2950" t="n">
        <v>0</v>
      </c>
      <c r="K2950" t="n">
        <v>0</v>
      </c>
      <c r="L2950" t="n">
        <v>1</v>
      </c>
      <c r="M2950" t="n">
        <v>0</v>
      </c>
    </row>
    <row r="2951" spans="1:13">
      <c r="A2951" s="1">
        <f>HYPERLINK("http://www.twitter.com/NathanBLawrence/status/987764377322319872", "987764377322319872")</f>
        <v/>
      </c>
      <c r="B2951" s="2" t="n">
        <v>43211.78186342592</v>
      </c>
      <c r="C2951" t="n">
        <v>0</v>
      </c>
      <c r="D2951" t="n">
        <v>52</v>
      </c>
      <c r="E2951" t="s">
        <v>2951</v>
      </c>
      <c r="F2951" t="s"/>
      <c r="G2951" t="s"/>
      <c r="H2951" t="s"/>
      <c r="I2951" t="s"/>
      <c r="J2951" t="n">
        <v>0.2263</v>
      </c>
      <c r="K2951" t="n">
        <v>0</v>
      </c>
      <c r="L2951" t="n">
        <v>0.899</v>
      </c>
      <c r="M2951" t="n">
        <v>0.101</v>
      </c>
    </row>
    <row r="2952" spans="1:13">
      <c r="A2952" s="1">
        <f>HYPERLINK("http://www.twitter.com/NathanBLawrence/status/987764153270988800", "987764153270988800")</f>
        <v/>
      </c>
      <c r="B2952" s="2" t="n">
        <v>43211.78125</v>
      </c>
      <c r="C2952" t="n">
        <v>0</v>
      </c>
      <c r="D2952" t="n">
        <v>991</v>
      </c>
      <c r="E2952" t="s">
        <v>2952</v>
      </c>
      <c r="F2952">
        <f>HYPERLINK("http://pbs.twimg.com/media/DbUiXHbU8AE79wj.jpg", "http://pbs.twimg.com/media/DbUiXHbU8AE79wj.jpg")</f>
        <v/>
      </c>
      <c r="G2952" t="s"/>
      <c r="H2952" t="s"/>
      <c r="I2952" t="s"/>
      <c r="J2952" t="n">
        <v>0</v>
      </c>
      <c r="K2952" t="n">
        <v>0</v>
      </c>
      <c r="L2952" t="n">
        <v>1</v>
      </c>
      <c r="M2952" t="n">
        <v>0</v>
      </c>
    </row>
    <row r="2953" spans="1:13">
      <c r="A2953" s="1">
        <f>HYPERLINK("http://www.twitter.com/NathanBLawrence/status/987763571156107264", "987763571156107264")</f>
        <v/>
      </c>
      <c r="B2953" s="2" t="n">
        <v>43211.77964120371</v>
      </c>
      <c r="C2953" t="n">
        <v>0</v>
      </c>
      <c r="D2953" t="n">
        <v>4985</v>
      </c>
      <c r="E2953" t="s">
        <v>2953</v>
      </c>
      <c r="F2953" t="s"/>
      <c r="G2953" t="s"/>
      <c r="H2953" t="s"/>
      <c r="I2953" t="s"/>
      <c r="J2953" t="n">
        <v>0.5514</v>
      </c>
      <c r="K2953" t="n">
        <v>0</v>
      </c>
      <c r="L2953" t="n">
        <v>0.866</v>
      </c>
      <c r="M2953" t="n">
        <v>0.134</v>
      </c>
    </row>
    <row r="2954" spans="1:13">
      <c r="A2954" s="1">
        <f>HYPERLINK("http://www.twitter.com/NathanBLawrence/status/987763459323392000", "987763459323392000")</f>
        <v/>
      </c>
      <c r="B2954" s="2" t="n">
        <v>43211.77934027778</v>
      </c>
      <c r="C2954" t="n">
        <v>0</v>
      </c>
      <c r="D2954" t="n">
        <v>5456</v>
      </c>
      <c r="E2954" t="s">
        <v>2954</v>
      </c>
      <c r="F2954" t="s"/>
      <c r="G2954" t="s"/>
      <c r="H2954" t="s"/>
      <c r="I2954" t="s"/>
      <c r="J2954" t="n">
        <v>0.4215</v>
      </c>
      <c r="K2954" t="n">
        <v>0</v>
      </c>
      <c r="L2954" t="n">
        <v>0.517</v>
      </c>
      <c r="M2954" t="n">
        <v>0.483</v>
      </c>
    </row>
    <row r="2955" spans="1:13">
      <c r="A2955" s="1">
        <f>HYPERLINK("http://www.twitter.com/NathanBLawrence/status/987763429355106304", "987763429355106304")</f>
        <v/>
      </c>
      <c r="B2955" s="2" t="n">
        <v>43211.77924768518</v>
      </c>
      <c r="C2955" t="n">
        <v>0</v>
      </c>
      <c r="D2955" t="n">
        <v>5743</v>
      </c>
      <c r="E2955" t="s">
        <v>2955</v>
      </c>
      <c r="F2955" t="s"/>
      <c r="G2955" t="s"/>
      <c r="H2955" t="s"/>
      <c r="I2955" t="s"/>
      <c r="J2955" t="n">
        <v>0.3382</v>
      </c>
      <c r="K2955" t="n">
        <v>0</v>
      </c>
      <c r="L2955" t="n">
        <v>0.834</v>
      </c>
      <c r="M2955" t="n">
        <v>0.166</v>
      </c>
    </row>
    <row r="2956" spans="1:13">
      <c r="A2956" s="1">
        <f>HYPERLINK("http://www.twitter.com/NathanBLawrence/status/987762939682635776", "987762939682635776")</f>
        <v/>
      </c>
      <c r="B2956" s="2" t="n">
        <v>43211.77790509259</v>
      </c>
      <c r="C2956" t="n">
        <v>0</v>
      </c>
      <c r="D2956" t="n">
        <v>13065</v>
      </c>
      <c r="E2956" t="s">
        <v>2956</v>
      </c>
      <c r="F2956">
        <f>HYPERLINK("http://pbs.twimg.com/media/DbUVJVbXUAEsuq0.jpg", "http://pbs.twimg.com/media/DbUVJVbXUAEsuq0.jpg")</f>
        <v/>
      </c>
      <c r="G2956" t="s"/>
      <c r="H2956" t="s"/>
      <c r="I2956" t="s"/>
      <c r="J2956" t="n">
        <v>0</v>
      </c>
      <c r="K2956" t="n">
        <v>0</v>
      </c>
      <c r="L2956" t="n">
        <v>1</v>
      </c>
      <c r="M2956" t="n">
        <v>0</v>
      </c>
    </row>
    <row r="2957" spans="1:13">
      <c r="A2957" s="1">
        <f>HYPERLINK("http://www.twitter.com/NathanBLawrence/status/987762833952657408", "987762833952657408")</f>
        <v/>
      </c>
      <c r="B2957" s="2" t="n">
        <v>43211.77761574074</v>
      </c>
      <c r="C2957" t="n">
        <v>0</v>
      </c>
      <c r="D2957" t="n">
        <v>10855</v>
      </c>
      <c r="E2957" t="s">
        <v>2957</v>
      </c>
      <c r="F2957">
        <f>HYPERLINK("http://pbs.twimg.com/media/DbTzowmXkAAaSzi.jpg", "http://pbs.twimg.com/media/DbTzowmXkAAaSzi.jpg")</f>
        <v/>
      </c>
      <c r="G2957" t="s"/>
      <c r="H2957" t="s"/>
      <c r="I2957" t="s"/>
      <c r="J2957" t="n">
        <v>0.3595</v>
      </c>
      <c r="K2957" t="n">
        <v>0</v>
      </c>
      <c r="L2957" t="n">
        <v>0.872</v>
      </c>
      <c r="M2957" t="n">
        <v>0.128</v>
      </c>
    </row>
    <row r="2958" spans="1:13">
      <c r="A2958" s="1">
        <f>HYPERLINK("http://www.twitter.com/NathanBLawrence/status/987762698812243968", "987762698812243968")</f>
        <v/>
      </c>
      <c r="B2958" s="2" t="n">
        <v>43211.7772337963</v>
      </c>
      <c r="C2958" t="n">
        <v>0</v>
      </c>
      <c r="D2958" t="n">
        <v>11305</v>
      </c>
      <c r="E2958" t="s">
        <v>2958</v>
      </c>
      <c r="F2958" t="s"/>
      <c r="G2958" t="s"/>
      <c r="H2958" t="s"/>
      <c r="I2958" t="s"/>
      <c r="J2958" t="n">
        <v>0.067</v>
      </c>
      <c r="K2958" t="n">
        <v>0.17</v>
      </c>
      <c r="L2958" t="n">
        <v>0.651</v>
      </c>
      <c r="M2958" t="n">
        <v>0.179</v>
      </c>
    </row>
    <row r="2959" spans="1:13">
      <c r="A2959" s="1">
        <f>HYPERLINK("http://www.twitter.com/NathanBLawrence/status/987762684702613504", "987762684702613504")</f>
        <v/>
      </c>
      <c r="B2959" s="2" t="n">
        <v>43211.77719907407</v>
      </c>
      <c r="C2959" t="n">
        <v>0</v>
      </c>
      <c r="D2959" t="n">
        <v>10735</v>
      </c>
      <c r="E2959" t="s">
        <v>2959</v>
      </c>
      <c r="F2959" t="s"/>
      <c r="G2959" t="s"/>
      <c r="H2959" t="s"/>
      <c r="I2959" t="s"/>
      <c r="J2959" t="n">
        <v>-0.2023</v>
      </c>
      <c r="K2959" t="n">
        <v>0.254</v>
      </c>
      <c r="L2959" t="n">
        <v>0.524</v>
      </c>
      <c r="M2959" t="n">
        <v>0.222</v>
      </c>
    </row>
    <row r="2960" spans="1:13">
      <c r="A2960" s="1">
        <f>HYPERLINK("http://www.twitter.com/NathanBLawrence/status/987762648199524352", "987762648199524352")</f>
        <v/>
      </c>
      <c r="B2960" s="2" t="n">
        <v>43211.7770949074</v>
      </c>
      <c r="C2960" t="n">
        <v>0</v>
      </c>
      <c r="D2960" t="n">
        <v>14477</v>
      </c>
      <c r="E2960" t="s">
        <v>2960</v>
      </c>
      <c r="F2960" t="s"/>
      <c r="G2960" t="s"/>
      <c r="H2960" t="s"/>
      <c r="I2960" t="s"/>
      <c r="J2960" t="n">
        <v>0</v>
      </c>
      <c r="K2960" t="n">
        <v>0</v>
      </c>
      <c r="L2960" t="n">
        <v>1</v>
      </c>
      <c r="M2960" t="n">
        <v>0</v>
      </c>
    </row>
    <row r="2961" spans="1:13">
      <c r="A2961" s="1">
        <f>HYPERLINK("http://www.twitter.com/NathanBLawrence/status/987754234991919104", "987754234991919104")</f>
        <v/>
      </c>
      <c r="B2961" s="2" t="n">
        <v>43211.75387731481</v>
      </c>
      <c r="C2961" t="n">
        <v>0</v>
      </c>
      <c r="D2961" t="n">
        <v>14178</v>
      </c>
      <c r="E2961" t="s">
        <v>2961</v>
      </c>
      <c r="F2961">
        <f>HYPERLINK("https://video.twimg.com/ext_tw_video/987718619629940737/pu/vid/640x360/lnYGQYfyBQ8YOHUv.mp4?tag=3", "https://video.twimg.com/ext_tw_video/987718619629940737/pu/vid/640x360/lnYGQYfyBQ8YOHUv.mp4?tag=3")</f>
        <v/>
      </c>
      <c r="G2961" t="s"/>
      <c r="H2961" t="s"/>
      <c r="I2961" t="s"/>
      <c r="J2961" t="n">
        <v>0.8883</v>
      </c>
      <c r="K2961" t="n">
        <v>0</v>
      </c>
      <c r="L2961" t="n">
        <v>0.534</v>
      </c>
      <c r="M2961" t="n">
        <v>0.466</v>
      </c>
    </row>
    <row r="2962" spans="1:13">
      <c r="A2962" s="1">
        <f>HYPERLINK("http://www.twitter.com/NathanBLawrence/status/987754016212795392", "987754016212795392")</f>
        <v/>
      </c>
      <c r="B2962" s="2" t="n">
        <v>43211.75327546296</v>
      </c>
      <c r="C2962" t="n">
        <v>0</v>
      </c>
      <c r="D2962" t="n">
        <v>2781</v>
      </c>
      <c r="E2962" t="s">
        <v>2962</v>
      </c>
      <c r="F2962">
        <f>HYPERLINK("http://pbs.twimg.com/media/DbUQS4NVQAABXNZ.jpg", "http://pbs.twimg.com/media/DbUQS4NVQAABXNZ.jpg")</f>
        <v/>
      </c>
      <c r="G2962" t="s"/>
      <c r="H2962" t="s"/>
      <c r="I2962" t="s"/>
      <c r="J2962" t="n">
        <v>-0.4199</v>
      </c>
      <c r="K2962" t="n">
        <v>0.208</v>
      </c>
      <c r="L2962" t="n">
        <v>0.673</v>
      </c>
      <c r="M2962" t="n">
        <v>0.119</v>
      </c>
    </row>
    <row r="2963" spans="1:13">
      <c r="A2963" s="1">
        <f>HYPERLINK("http://www.twitter.com/NathanBLawrence/status/987753905487364096", "987753905487364096")</f>
        <v/>
      </c>
      <c r="B2963" s="2" t="n">
        <v>43211.75297453703</v>
      </c>
      <c r="C2963" t="n">
        <v>0</v>
      </c>
      <c r="D2963" t="n">
        <v>24</v>
      </c>
      <c r="E2963" t="s">
        <v>2963</v>
      </c>
      <c r="F2963">
        <f>HYPERLINK("http://pbs.twimg.com/media/DbUZuhMVwAEVS4c.jpg", "http://pbs.twimg.com/media/DbUZuhMVwAEVS4c.jpg")</f>
        <v/>
      </c>
      <c r="G2963" t="s"/>
      <c r="H2963" t="s"/>
      <c r="I2963" t="s"/>
      <c r="J2963" t="n">
        <v>0</v>
      </c>
      <c r="K2963" t="n">
        <v>0</v>
      </c>
      <c r="L2963" t="n">
        <v>1</v>
      </c>
      <c r="M2963" t="n">
        <v>0</v>
      </c>
    </row>
    <row r="2964" spans="1:13">
      <c r="A2964" s="1">
        <f>HYPERLINK("http://www.twitter.com/NathanBLawrence/status/987753830493310978", "987753830493310978")</f>
        <v/>
      </c>
      <c r="B2964" s="2" t="n">
        <v>43211.7527662037</v>
      </c>
      <c r="C2964" t="n">
        <v>0</v>
      </c>
      <c r="D2964" t="n">
        <v>1163</v>
      </c>
      <c r="E2964" t="s">
        <v>2964</v>
      </c>
      <c r="F2964" t="s"/>
      <c r="G2964" t="s"/>
      <c r="H2964" t="s"/>
      <c r="I2964" t="s"/>
      <c r="J2964" t="n">
        <v>0.4389</v>
      </c>
      <c r="K2964" t="n">
        <v>0.092</v>
      </c>
      <c r="L2964" t="n">
        <v>0.717</v>
      </c>
      <c r="M2964" t="n">
        <v>0.191</v>
      </c>
    </row>
    <row r="2965" spans="1:13">
      <c r="A2965" s="1">
        <f>HYPERLINK("http://www.twitter.com/NathanBLawrence/status/987753761434095616", "987753761434095616")</f>
        <v/>
      </c>
      <c r="B2965" s="2" t="n">
        <v>43211.75256944444</v>
      </c>
      <c r="C2965" t="n">
        <v>0</v>
      </c>
      <c r="D2965" t="n">
        <v>450</v>
      </c>
      <c r="E2965" t="s">
        <v>2965</v>
      </c>
      <c r="F2965" t="s"/>
      <c r="G2965" t="s"/>
      <c r="H2965" t="s"/>
      <c r="I2965" t="s"/>
      <c r="J2965" t="n">
        <v>-0.4466</v>
      </c>
      <c r="K2965" t="n">
        <v>0.147</v>
      </c>
      <c r="L2965" t="n">
        <v>0.853</v>
      </c>
      <c r="M2965" t="n">
        <v>0</v>
      </c>
    </row>
    <row r="2966" spans="1:13">
      <c r="A2966" s="1">
        <f>HYPERLINK("http://www.twitter.com/NathanBLawrence/status/987753715770654720", "987753715770654720")</f>
        <v/>
      </c>
      <c r="B2966" s="2" t="n">
        <v>43211.7524537037</v>
      </c>
      <c r="C2966" t="n">
        <v>0</v>
      </c>
      <c r="D2966" t="n">
        <v>12144</v>
      </c>
      <c r="E2966" t="s">
        <v>2966</v>
      </c>
      <c r="F2966" t="s"/>
      <c r="G2966" t="s"/>
      <c r="H2966" t="s"/>
      <c r="I2966" t="s"/>
      <c r="J2966" t="n">
        <v>-0.4215</v>
      </c>
      <c r="K2966" t="n">
        <v>0.128</v>
      </c>
      <c r="L2966" t="n">
        <v>0.872</v>
      </c>
      <c r="M2966" t="n">
        <v>0</v>
      </c>
    </row>
    <row r="2967" spans="1:13">
      <c r="A2967" s="1">
        <f>HYPERLINK("http://www.twitter.com/NathanBLawrence/status/987751530664083456", "987751530664083456")</f>
        <v/>
      </c>
      <c r="B2967" s="2" t="n">
        <v>43211.74642361111</v>
      </c>
      <c r="C2967" t="n">
        <v>23</v>
      </c>
      <c r="D2967" t="n">
        <v>9</v>
      </c>
      <c r="E2967" t="s">
        <v>2967</v>
      </c>
      <c r="F2967" t="s"/>
      <c r="G2967" t="s"/>
      <c r="H2967" t="s"/>
      <c r="I2967" t="s"/>
      <c r="J2967" t="n">
        <v>-0.8834</v>
      </c>
      <c r="K2967" t="n">
        <v>0.197</v>
      </c>
      <c r="L2967" t="n">
        <v>0.803</v>
      </c>
      <c r="M2967" t="n">
        <v>0</v>
      </c>
    </row>
    <row r="2968" spans="1:13">
      <c r="A2968" s="1">
        <f>HYPERLINK("http://www.twitter.com/NathanBLawrence/status/987744841810436096", "987744841810436096")</f>
        <v/>
      </c>
      <c r="B2968" s="2" t="n">
        <v>43211.72796296296</v>
      </c>
      <c r="C2968" t="n">
        <v>0</v>
      </c>
      <c r="D2968" t="n">
        <v>1058</v>
      </c>
      <c r="E2968" t="s">
        <v>2968</v>
      </c>
      <c r="F2968" t="s"/>
      <c r="G2968" t="s"/>
      <c r="H2968" t="s"/>
      <c r="I2968" t="s"/>
      <c r="J2968" t="n">
        <v>-0.7783</v>
      </c>
      <c r="K2968" t="n">
        <v>0.236</v>
      </c>
      <c r="L2968" t="n">
        <v>0.764</v>
      </c>
      <c r="M2968" t="n">
        <v>0</v>
      </c>
    </row>
    <row r="2969" spans="1:13">
      <c r="A2969" s="1">
        <f>HYPERLINK("http://www.twitter.com/NathanBLawrence/status/987744435315265536", "987744435315265536")</f>
        <v/>
      </c>
      <c r="B2969" s="2" t="n">
        <v>43211.72684027778</v>
      </c>
      <c r="C2969" t="n">
        <v>0</v>
      </c>
      <c r="D2969" t="n">
        <v>70</v>
      </c>
      <c r="E2969" t="s">
        <v>2969</v>
      </c>
      <c r="F2969" t="s"/>
      <c r="G2969" t="s"/>
      <c r="H2969" t="s"/>
      <c r="I2969" t="s"/>
      <c r="J2969" t="n">
        <v>-0.4588</v>
      </c>
      <c r="K2969" t="n">
        <v>0.167</v>
      </c>
      <c r="L2969" t="n">
        <v>0.833</v>
      </c>
      <c r="M2969" t="n">
        <v>0</v>
      </c>
    </row>
    <row r="2970" spans="1:13">
      <c r="A2970" s="1">
        <f>HYPERLINK("http://www.twitter.com/NathanBLawrence/status/987744367027736576", "987744367027736576")</f>
        <v/>
      </c>
      <c r="B2970" s="2" t="n">
        <v>43211.72665509259</v>
      </c>
      <c r="C2970" t="n">
        <v>0</v>
      </c>
      <c r="D2970" t="n">
        <v>585</v>
      </c>
      <c r="E2970" t="s">
        <v>2970</v>
      </c>
      <c r="F2970" t="s"/>
      <c r="G2970" t="s"/>
      <c r="H2970" t="s"/>
      <c r="I2970" t="s"/>
      <c r="J2970" t="n">
        <v>0</v>
      </c>
      <c r="K2970" t="n">
        <v>0</v>
      </c>
      <c r="L2970" t="n">
        <v>1</v>
      </c>
      <c r="M2970" t="n">
        <v>0</v>
      </c>
    </row>
    <row r="2971" spans="1:13">
      <c r="A2971" s="1">
        <f>HYPERLINK("http://www.twitter.com/NathanBLawrence/status/987744137783885825", "987744137783885825")</f>
        <v/>
      </c>
      <c r="B2971" s="2" t="n">
        <v>43211.72601851852</v>
      </c>
      <c r="C2971" t="n">
        <v>0</v>
      </c>
      <c r="D2971" t="n">
        <v>13</v>
      </c>
      <c r="E2971" t="s">
        <v>2971</v>
      </c>
      <c r="F2971">
        <f>HYPERLINK("http://pbs.twimg.com/media/DbT8WmHVAAA8yAP.jpg", "http://pbs.twimg.com/media/DbT8WmHVAAA8yAP.jpg")</f>
        <v/>
      </c>
      <c r="G2971" t="s"/>
      <c r="H2971" t="s"/>
      <c r="I2971" t="s"/>
      <c r="J2971" t="n">
        <v>0.1779</v>
      </c>
      <c r="K2971" t="n">
        <v>0.097</v>
      </c>
      <c r="L2971" t="n">
        <v>0.778</v>
      </c>
      <c r="M2971" t="n">
        <v>0.125</v>
      </c>
    </row>
    <row r="2972" spans="1:13">
      <c r="A2972" s="1">
        <f>HYPERLINK("http://www.twitter.com/NathanBLawrence/status/987743919784906752", "987743919784906752")</f>
        <v/>
      </c>
      <c r="B2972" s="2" t="n">
        <v>43211.72541666667</v>
      </c>
      <c r="C2972" t="n">
        <v>0</v>
      </c>
      <c r="D2972" t="n">
        <v>12017</v>
      </c>
      <c r="E2972" t="s">
        <v>2972</v>
      </c>
      <c r="F2972" t="s"/>
      <c r="G2972" t="s"/>
      <c r="H2972" t="s"/>
      <c r="I2972" t="s"/>
      <c r="J2972" t="n">
        <v>-0.3612</v>
      </c>
      <c r="K2972" t="n">
        <v>0.102</v>
      </c>
      <c r="L2972" t="n">
        <v>0.898</v>
      </c>
      <c r="M2972" t="n">
        <v>0</v>
      </c>
    </row>
    <row r="2973" spans="1:13">
      <c r="A2973" s="1">
        <f>HYPERLINK("http://www.twitter.com/NathanBLawrence/status/987743829817155589", "987743829817155589")</f>
        <v/>
      </c>
      <c r="B2973" s="2" t="n">
        <v>43211.72517361111</v>
      </c>
      <c r="C2973" t="n">
        <v>0</v>
      </c>
      <c r="D2973" t="n">
        <v>6825</v>
      </c>
      <c r="E2973" t="s">
        <v>2973</v>
      </c>
      <c r="F2973" t="s"/>
      <c r="G2973" t="s"/>
      <c r="H2973" t="s"/>
      <c r="I2973" t="s"/>
      <c r="J2973" t="n">
        <v>0</v>
      </c>
      <c r="K2973" t="n">
        <v>0</v>
      </c>
      <c r="L2973" t="n">
        <v>1</v>
      </c>
      <c r="M2973" t="n">
        <v>0</v>
      </c>
    </row>
    <row r="2974" spans="1:13">
      <c r="A2974" s="1">
        <f>HYPERLINK("http://www.twitter.com/NathanBLawrence/status/987561636604137472", "987561636604137472")</f>
        <v/>
      </c>
      <c r="B2974" s="2" t="n">
        <v>43211.2224074074</v>
      </c>
      <c r="C2974" t="n">
        <v>0</v>
      </c>
      <c r="D2974" t="n">
        <v>138</v>
      </c>
      <c r="E2974" t="s">
        <v>2974</v>
      </c>
      <c r="F2974" t="s"/>
      <c r="G2974" t="s"/>
      <c r="H2974" t="s"/>
      <c r="I2974" t="s"/>
      <c r="J2974" t="n">
        <v>0.4436</v>
      </c>
      <c r="K2974" t="n">
        <v>0.106</v>
      </c>
      <c r="L2974" t="n">
        <v>0.6870000000000001</v>
      </c>
      <c r="M2974" t="n">
        <v>0.207</v>
      </c>
    </row>
    <row r="2975" spans="1:13">
      <c r="A2975" s="1">
        <f>HYPERLINK("http://www.twitter.com/NathanBLawrence/status/987560093335080961", "987560093335080961")</f>
        <v/>
      </c>
      <c r="B2975" s="2" t="n">
        <v>43211.21814814815</v>
      </c>
      <c r="C2975" t="n">
        <v>1</v>
      </c>
      <c r="D2975" t="n">
        <v>0</v>
      </c>
      <c r="E2975" t="s">
        <v>2975</v>
      </c>
      <c r="F2975" t="s"/>
      <c r="G2975" t="s"/>
      <c r="H2975" t="s"/>
      <c r="I2975" t="s"/>
      <c r="J2975" t="n">
        <v>0</v>
      </c>
      <c r="K2975" t="n">
        <v>0</v>
      </c>
      <c r="L2975" t="n">
        <v>1</v>
      </c>
      <c r="M2975" t="n">
        <v>0</v>
      </c>
    </row>
    <row r="2976" spans="1:13">
      <c r="A2976" s="1">
        <f>HYPERLINK("http://www.twitter.com/NathanBLawrence/status/987559664253587457", "987559664253587457")</f>
        <v/>
      </c>
      <c r="B2976" s="2" t="n">
        <v>43211.21696759259</v>
      </c>
      <c r="C2976" t="n">
        <v>0</v>
      </c>
      <c r="D2976" t="n">
        <v>1693</v>
      </c>
      <c r="E2976" t="s">
        <v>2976</v>
      </c>
      <c r="F2976" t="s"/>
      <c r="G2976" t="s"/>
      <c r="H2976" t="s"/>
      <c r="I2976" t="s"/>
      <c r="J2976" t="n">
        <v>-0.3818</v>
      </c>
      <c r="K2976" t="n">
        <v>0.112</v>
      </c>
      <c r="L2976" t="n">
        <v>0.84</v>
      </c>
      <c r="M2976" t="n">
        <v>0.048</v>
      </c>
    </row>
    <row r="2977" spans="1:13">
      <c r="A2977" s="1">
        <f>HYPERLINK("http://www.twitter.com/NathanBLawrence/status/987559521773084672", "987559521773084672")</f>
        <v/>
      </c>
      <c r="B2977" s="2" t="n">
        <v>43211.21657407407</v>
      </c>
      <c r="C2977" t="n">
        <v>0</v>
      </c>
      <c r="D2977" t="n">
        <v>969</v>
      </c>
      <c r="E2977" t="s">
        <v>2977</v>
      </c>
      <c r="F2977">
        <f>HYPERLINK("https://video.twimg.com/amplify_video/987517999211986944/vid/1280x720/euTBeWqq6QX_vXNQ.mp4?tag=2", "https://video.twimg.com/amplify_video/987517999211986944/vid/1280x720/euTBeWqq6QX_vXNQ.mp4?tag=2")</f>
        <v/>
      </c>
      <c r="G2977" t="s"/>
      <c r="H2977" t="s"/>
      <c r="I2977" t="s"/>
      <c r="J2977" t="n">
        <v>-0.2558</v>
      </c>
      <c r="K2977" t="n">
        <v>0.166</v>
      </c>
      <c r="L2977" t="n">
        <v>0.708</v>
      </c>
      <c r="M2977" t="n">
        <v>0.126</v>
      </c>
    </row>
    <row r="2978" spans="1:13">
      <c r="A2978" s="1">
        <f>HYPERLINK("http://www.twitter.com/NathanBLawrence/status/987559348695126016", "987559348695126016")</f>
        <v/>
      </c>
      <c r="B2978" s="2" t="n">
        <v>43211.21609953704</v>
      </c>
      <c r="C2978" t="n">
        <v>0</v>
      </c>
      <c r="D2978" t="n">
        <v>72</v>
      </c>
      <c r="E2978" t="s">
        <v>2978</v>
      </c>
      <c r="F2978" t="s"/>
      <c r="G2978" t="s"/>
      <c r="H2978" t="s"/>
      <c r="I2978" t="s"/>
      <c r="J2978" t="n">
        <v>0</v>
      </c>
      <c r="K2978" t="n">
        <v>0</v>
      </c>
      <c r="L2978" t="n">
        <v>1</v>
      </c>
      <c r="M2978" t="n">
        <v>0</v>
      </c>
    </row>
    <row r="2979" spans="1:13">
      <c r="A2979" s="1">
        <f>HYPERLINK("http://www.twitter.com/NathanBLawrence/status/987559022105649152", "987559022105649152")</f>
        <v/>
      </c>
      <c r="B2979" s="2" t="n">
        <v>43211.21519675926</v>
      </c>
      <c r="C2979" t="n">
        <v>0</v>
      </c>
      <c r="D2979" t="n">
        <v>661</v>
      </c>
      <c r="E2979" t="s">
        <v>2979</v>
      </c>
      <c r="F2979">
        <f>HYPERLINK("http://pbs.twimg.com/media/DbQTfBXUQAA6E1Q.jpg", "http://pbs.twimg.com/media/DbQTfBXUQAA6E1Q.jpg")</f>
        <v/>
      </c>
      <c r="G2979" t="s"/>
      <c r="H2979" t="s"/>
      <c r="I2979" t="s"/>
      <c r="J2979" t="n">
        <v>0.765</v>
      </c>
      <c r="K2979" t="n">
        <v>0</v>
      </c>
      <c r="L2979" t="n">
        <v>0.784</v>
      </c>
      <c r="M2979" t="n">
        <v>0.216</v>
      </c>
    </row>
    <row r="2980" spans="1:13">
      <c r="A2980" s="1">
        <f>HYPERLINK("http://www.twitter.com/NathanBLawrence/status/987558554071654401", "987558554071654401")</f>
        <v/>
      </c>
      <c r="B2980" s="2" t="n">
        <v>43211.21390046296</v>
      </c>
      <c r="C2980" t="n">
        <v>0</v>
      </c>
      <c r="D2980" t="n">
        <v>871</v>
      </c>
      <c r="E2980" t="s">
        <v>2980</v>
      </c>
      <c r="F2980" t="s"/>
      <c r="G2980" t="s"/>
      <c r="H2980" t="s"/>
      <c r="I2980" t="s"/>
      <c r="J2980" t="n">
        <v>0.6249</v>
      </c>
      <c r="K2980" t="n">
        <v>0</v>
      </c>
      <c r="L2980" t="n">
        <v>0.8120000000000001</v>
      </c>
      <c r="M2980" t="n">
        <v>0.188</v>
      </c>
    </row>
    <row r="2981" spans="1:13">
      <c r="A2981" s="1">
        <f>HYPERLINK("http://www.twitter.com/NathanBLawrence/status/987558376287686656", "987558376287686656")</f>
        <v/>
      </c>
      <c r="B2981" s="2" t="n">
        <v>43211.21341435185</v>
      </c>
      <c r="C2981" t="n">
        <v>0</v>
      </c>
      <c r="D2981" t="n">
        <v>2424</v>
      </c>
      <c r="E2981" t="s">
        <v>2981</v>
      </c>
      <c r="F2981" t="s"/>
      <c r="G2981" t="s"/>
      <c r="H2981" t="s"/>
      <c r="I2981" t="s"/>
      <c r="J2981" t="n">
        <v>-0.6908</v>
      </c>
      <c r="K2981" t="n">
        <v>0.231</v>
      </c>
      <c r="L2981" t="n">
        <v>0.769</v>
      </c>
      <c r="M2981" t="n">
        <v>0</v>
      </c>
    </row>
    <row r="2982" spans="1:13">
      <c r="A2982" s="1">
        <f>HYPERLINK("http://www.twitter.com/NathanBLawrence/status/987557986834026496", "987557986834026496")</f>
        <v/>
      </c>
      <c r="B2982" s="2" t="n">
        <v>43211.21233796296</v>
      </c>
      <c r="C2982" t="n">
        <v>0</v>
      </c>
      <c r="D2982" t="n">
        <v>204</v>
      </c>
      <c r="E2982" t="s">
        <v>2982</v>
      </c>
      <c r="F2982" t="s"/>
      <c r="G2982" t="s"/>
      <c r="H2982" t="s"/>
      <c r="I2982" t="s"/>
      <c r="J2982" t="n">
        <v>0</v>
      </c>
      <c r="K2982" t="n">
        <v>0</v>
      </c>
      <c r="L2982" t="n">
        <v>1</v>
      </c>
      <c r="M2982" t="n">
        <v>0</v>
      </c>
    </row>
    <row r="2983" spans="1:13">
      <c r="A2983" s="1">
        <f>HYPERLINK("http://www.twitter.com/NathanBLawrence/status/987557537544359937", "987557537544359937")</f>
        <v/>
      </c>
      <c r="B2983" s="2" t="n">
        <v>43211.21109953704</v>
      </c>
      <c r="C2983" t="n">
        <v>0</v>
      </c>
      <c r="D2983" t="n">
        <v>120</v>
      </c>
      <c r="E2983" t="s">
        <v>2983</v>
      </c>
      <c r="F2983">
        <f>HYPERLINK("http://pbs.twimg.com/media/DbR8p_fUQAEymm1.jpg", "http://pbs.twimg.com/media/DbR8p_fUQAEymm1.jpg")</f>
        <v/>
      </c>
      <c r="G2983" t="s"/>
      <c r="H2983" t="s"/>
      <c r="I2983" t="s"/>
      <c r="J2983" t="n">
        <v>-0.6901</v>
      </c>
      <c r="K2983" t="n">
        <v>0.27</v>
      </c>
      <c r="L2983" t="n">
        <v>0.623</v>
      </c>
      <c r="M2983" t="n">
        <v>0.107</v>
      </c>
    </row>
    <row r="2984" spans="1:13">
      <c r="A2984" s="1">
        <f>HYPERLINK("http://www.twitter.com/NathanBLawrence/status/987557440534302720", "987557440534302720")</f>
        <v/>
      </c>
      <c r="B2984" s="2" t="n">
        <v>43211.21083333333</v>
      </c>
      <c r="C2984" t="n">
        <v>0</v>
      </c>
      <c r="D2984" t="n">
        <v>2115</v>
      </c>
      <c r="E2984" t="s">
        <v>2984</v>
      </c>
      <c r="F2984" t="s"/>
      <c r="G2984" t="s"/>
      <c r="H2984" t="s"/>
      <c r="I2984" t="s"/>
      <c r="J2984" t="n">
        <v>-0.25</v>
      </c>
      <c r="K2984" t="n">
        <v>0.185</v>
      </c>
      <c r="L2984" t="n">
        <v>0.699</v>
      </c>
      <c r="M2984" t="n">
        <v>0.115</v>
      </c>
    </row>
    <row r="2985" spans="1:13">
      <c r="A2985" s="1">
        <f>HYPERLINK("http://www.twitter.com/NathanBLawrence/status/987557287236644864", "987557287236644864")</f>
        <v/>
      </c>
      <c r="B2985" s="2" t="n">
        <v>43211.21040509259</v>
      </c>
      <c r="C2985" t="n">
        <v>0</v>
      </c>
      <c r="D2985" t="n">
        <v>272</v>
      </c>
      <c r="E2985" t="s">
        <v>2985</v>
      </c>
      <c r="F2985" t="s"/>
      <c r="G2985" t="s"/>
      <c r="H2985" t="s"/>
      <c r="I2985" t="s"/>
      <c r="J2985" t="n">
        <v>0.5622</v>
      </c>
      <c r="K2985" t="n">
        <v>0</v>
      </c>
      <c r="L2985" t="n">
        <v>0.873</v>
      </c>
      <c r="M2985" t="n">
        <v>0.127</v>
      </c>
    </row>
    <row r="2986" spans="1:13">
      <c r="A2986" s="1">
        <f>HYPERLINK("http://www.twitter.com/NathanBLawrence/status/987557118910885888", "987557118910885888")</f>
        <v/>
      </c>
      <c r="B2986" s="2" t="n">
        <v>43211.20994212963</v>
      </c>
      <c r="C2986" t="n">
        <v>0</v>
      </c>
      <c r="D2986" t="n">
        <v>279</v>
      </c>
      <c r="E2986" t="s">
        <v>2986</v>
      </c>
      <c r="F2986" t="s"/>
      <c r="G2986" t="s"/>
      <c r="H2986" t="s"/>
      <c r="I2986" t="s"/>
      <c r="J2986" t="n">
        <v>-0.7118</v>
      </c>
      <c r="K2986" t="n">
        <v>0.215</v>
      </c>
      <c r="L2986" t="n">
        <v>0.785</v>
      </c>
      <c r="M2986" t="n">
        <v>0</v>
      </c>
    </row>
    <row r="2987" spans="1:13">
      <c r="A2987" s="1">
        <f>HYPERLINK("http://www.twitter.com/NathanBLawrence/status/987557038350913537", "987557038350913537")</f>
        <v/>
      </c>
      <c r="B2987" s="2" t="n">
        <v>43211.20972222222</v>
      </c>
      <c r="C2987" t="n">
        <v>0</v>
      </c>
      <c r="D2987" t="n">
        <v>628</v>
      </c>
      <c r="E2987" t="s">
        <v>2987</v>
      </c>
      <c r="F2987" t="s"/>
      <c r="G2987" t="s"/>
      <c r="H2987" t="s"/>
      <c r="I2987" t="s"/>
      <c r="J2987" t="n">
        <v>0.5815</v>
      </c>
      <c r="K2987" t="n">
        <v>0</v>
      </c>
      <c r="L2987" t="n">
        <v>0.746</v>
      </c>
      <c r="M2987" t="n">
        <v>0.254</v>
      </c>
    </row>
    <row r="2988" spans="1:13">
      <c r="A2988" s="1">
        <f>HYPERLINK("http://www.twitter.com/NathanBLawrence/status/987556695940452352", "987556695940452352")</f>
        <v/>
      </c>
      <c r="B2988" s="2" t="n">
        <v>43211.20877314815</v>
      </c>
      <c r="C2988" t="n">
        <v>0</v>
      </c>
      <c r="D2988" t="n">
        <v>2764</v>
      </c>
      <c r="E2988" t="s">
        <v>2988</v>
      </c>
      <c r="F2988" t="s"/>
      <c r="G2988" t="s"/>
      <c r="H2988" t="s"/>
      <c r="I2988" t="s"/>
      <c r="J2988" t="n">
        <v>-0.34</v>
      </c>
      <c r="K2988" t="n">
        <v>0.286</v>
      </c>
      <c r="L2988" t="n">
        <v>0.714</v>
      </c>
      <c r="M2988" t="n">
        <v>0</v>
      </c>
    </row>
    <row r="2989" spans="1:13">
      <c r="A2989" s="1">
        <f>HYPERLINK("http://www.twitter.com/NathanBLawrence/status/987556625727873025", "987556625727873025")</f>
        <v/>
      </c>
      <c r="B2989" s="2" t="n">
        <v>43211.20858796296</v>
      </c>
      <c r="C2989" t="n">
        <v>0</v>
      </c>
      <c r="D2989" t="n">
        <v>1256</v>
      </c>
      <c r="E2989" t="s">
        <v>2989</v>
      </c>
      <c r="F2989" t="s"/>
      <c r="G2989" t="s"/>
      <c r="H2989" t="s"/>
      <c r="I2989" t="s"/>
      <c r="J2989" t="n">
        <v>0</v>
      </c>
      <c r="K2989" t="n">
        <v>0</v>
      </c>
      <c r="L2989" t="n">
        <v>1</v>
      </c>
      <c r="M2989" t="n">
        <v>0</v>
      </c>
    </row>
    <row r="2990" spans="1:13">
      <c r="A2990" s="1">
        <f>HYPERLINK("http://www.twitter.com/NathanBLawrence/status/987556457121042432", "987556457121042432")</f>
        <v/>
      </c>
      <c r="B2990" s="2" t="n">
        <v>43211.20811342593</v>
      </c>
      <c r="C2990" t="n">
        <v>1</v>
      </c>
      <c r="D2990" t="n">
        <v>0</v>
      </c>
      <c r="E2990" t="s">
        <v>2990</v>
      </c>
      <c r="F2990" t="s"/>
      <c r="G2990" t="s"/>
      <c r="H2990" t="s"/>
      <c r="I2990" t="s"/>
      <c r="J2990" t="n">
        <v>0.2023</v>
      </c>
      <c r="K2990" t="n">
        <v>0</v>
      </c>
      <c r="L2990" t="n">
        <v>0.833</v>
      </c>
      <c r="M2990" t="n">
        <v>0.167</v>
      </c>
    </row>
    <row r="2991" spans="1:13">
      <c r="A2991" s="1">
        <f>HYPERLINK("http://www.twitter.com/NathanBLawrence/status/987555919356747776", "987555919356747776")</f>
        <v/>
      </c>
      <c r="B2991" s="2" t="n">
        <v>43211.20663194444</v>
      </c>
      <c r="C2991" t="n">
        <v>0</v>
      </c>
      <c r="D2991" t="n">
        <v>1222</v>
      </c>
      <c r="E2991" t="s">
        <v>2991</v>
      </c>
      <c r="F2991" t="s"/>
      <c r="G2991" t="s"/>
      <c r="H2991" t="s"/>
      <c r="I2991" t="s"/>
      <c r="J2991" t="n">
        <v>0.5859</v>
      </c>
      <c r="K2991" t="n">
        <v>0.078</v>
      </c>
      <c r="L2991" t="n">
        <v>0.709</v>
      </c>
      <c r="M2991" t="n">
        <v>0.213</v>
      </c>
    </row>
    <row r="2992" spans="1:13">
      <c r="A2992" s="1">
        <f>HYPERLINK("http://www.twitter.com/NathanBLawrence/status/987555628460724224", "987555628460724224")</f>
        <v/>
      </c>
      <c r="B2992" s="2" t="n">
        <v>43211.20583333333</v>
      </c>
      <c r="C2992" t="n">
        <v>2</v>
      </c>
      <c r="D2992" t="n">
        <v>0</v>
      </c>
      <c r="E2992" t="s">
        <v>2992</v>
      </c>
      <c r="F2992" t="s"/>
      <c r="G2992" t="s"/>
      <c r="H2992" t="s"/>
      <c r="I2992" t="s"/>
      <c r="J2992" t="n">
        <v>-0.128</v>
      </c>
      <c r="K2992" t="n">
        <v>0.081</v>
      </c>
      <c r="L2992" t="n">
        <v>0.919</v>
      </c>
      <c r="M2992" t="n">
        <v>0</v>
      </c>
    </row>
    <row r="2993" spans="1:13">
      <c r="A2993" s="1">
        <f>HYPERLINK("http://www.twitter.com/NathanBLawrence/status/987554717847998464", "987554717847998464")</f>
        <v/>
      </c>
      <c r="B2993" s="2" t="n">
        <v>43211.20332175926</v>
      </c>
      <c r="C2993" t="n">
        <v>0</v>
      </c>
      <c r="D2993" t="n">
        <v>7</v>
      </c>
      <c r="E2993" t="s">
        <v>2993</v>
      </c>
      <c r="F2993" t="s"/>
      <c r="G2993" t="s"/>
      <c r="H2993" t="s"/>
      <c r="I2993" t="s"/>
      <c r="J2993" t="n">
        <v>-0.4767</v>
      </c>
      <c r="K2993" t="n">
        <v>0.114</v>
      </c>
      <c r="L2993" t="n">
        <v>0.886</v>
      </c>
      <c r="M2993" t="n">
        <v>0</v>
      </c>
    </row>
    <row r="2994" spans="1:13">
      <c r="A2994" s="1">
        <f>HYPERLINK("http://www.twitter.com/NathanBLawrence/status/987554544476479488", "987554544476479488")</f>
        <v/>
      </c>
      <c r="B2994" s="2" t="n">
        <v>43211.20283564815</v>
      </c>
      <c r="C2994" t="n">
        <v>0</v>
      </c>
      <c r="D2994" t="n">
        <v>1699</v>
      </c>
      <c r="E2994" t="s">
        <v>2994</v>
      </c>
      <c r="F2994" t="s"/>
      <c r="G2994" t="s"/>
      <c r="H2994" t="s"/>
      <c r="I2994" t="s"/>
      <c r="J2994" t="n">
        <v>-0.34</v>
      </c>
      <c r="K2994" t="n">
        <v>0.112</v>
      </c>
      <c r="L2994" t="n">
        <v>0.888</v>
      </c>
      <c r="M2994" t="n">
        <v>0</v>
      </c>
    </row>
    <row r="2995" spans="1:13">
      <c r="A2995" s="1">
        <f>HYPERLINK("http://www.twitter.com/NathanBLawrence/status/987554485932298240", "987554485932298240")</f>
        <v/>
      </c>
      <c r="B2995" s="2" t="n">
        <v>43211.20267361111</v>
      </c>
      <c r="C2995" t="n">
        <v>0</v>
      </c>
      <c r="D2995" t="n">
        <v>2627</v>
      </c>
      <c r="E2995" t="s">
        <v>2995</v>
      </c>
      <c r="F2995" t="s"/>
      <c r="G2995" t="s"/>
      <c r="H2995" t="s"/>
      <c r="I2995" t="s"/>
      <c r="J2995" t="n">
        <v>0.6124000000000001</v>
      </c>
      <c r="K2995" t="n">
        <v>0.052</v>
      </c>
      <c r="L2995" t="n">
        <v>0.746</v>
      </c>
      <c r="M2995" t="n">
        <v>0.201</v>
      </c>
    </row>
    <row r="2996" spans="1:13">
      <c r="A2996" s="1">
        <f>HYPERLINK("http://www.twitter.com/NathanBLawrence/status/987554424338907137", "987554424338907137")</f>
        <v/>
      </c>
      <c r="B2996" s="2" t="n">
        <v>43211.20251157408</v>
      </c>
      <c r="C2996" t="n">
        <v>0</v>
      </c>
      <c r="D2996" t="n">
        <v>10545</v>
      </c>
      <c r="E2996" t="s">
        <v>2996</v>
      </c>
      <c r="F2996" t="s"/>
      <c r="G2996" t="s"/>
      <c r="H2996" t="s"/>
      <c r="I2996" t="s"/>
      <c r="J2996" t="n">
        <v>0.5574</v>
      </c>
      <c r="K2996" t="n">
        <v>0</v>
      </c>
      <c r="L2996" t="n">
        <v>0.833</v>
      </c>
      <c r="M2996" t="n">
        <v>0.167</v>
      </c>
    </row>
    <row r="2997" spans="1:13">
      <c r="A2997" s="1">
        <f>HYPERLINK("http://www.twitter.com/NathanBLawrence/status/987554281254465536", "987554281254465536")</f>
        <v/>
      </c>
      <c r="B2997" s="2" t="n">
        <v>43211.20211805555</v>
      </c>
      <c r="C2997" t="n">
        <v>0</v>
      </c>
      <c r="D2997" t="n">
        <v>3757</v>
      </c>
      <c r="E2997" t="s">
        <v>2997</v>
      </c>
      <c r="F2997" t="s"/>
      <c r="G2997" t="s"/>
      <c r="H2997" t="s"/>
      <c r="I2997" t="s"/>
      <c r="J2997" t="n">
        <v>0.4215</v>
      </c>
      <c r="K2997" t="n">
        <v>0.115</v>
      </c>
      <c r="L2997" t="n">
        <v>0.625</v>
      </c>
      <c r="M2997" t="n">
        <v>0.26</v>
      </c>
    </row>
    <row r="2998" spans="1:13">
      <c r="A2998" s="1">
        <f>HYPERLINK("http://www.twitter.com/NathanBLawrence/status/987554228829868032", "987554228829868032")</f>
        <v/>
      </c>
      <c r="B2998" s="2" t="n">
        <v>43211.20196759259</v>
      </c>
      <c r="C2998" t="n">
        <v>0</v>
      </c>
      <c r="D2998" t="n">
        <v>1680</v>
      </c>
      <c r="E2998" t="s">
        <v>2998</v>
      </c>
      <c r="F2998" t="s"/>
      <c r="G2998" t="s"/>
      <c r="H2998" t="s"/>
      <c r="I2998" t="s"/>
      <c r="J2998" t="n">
        <v>0</v>
      </c>
      <c r="K2998" t="n">
        <v>0</v>
      </c>
      <c r="L2998" t="n">
        <v>1</v>
      </c>
      <c r="M2998" t="n">
        <v>0</v>
      </c>
    </row>
    <row r="2999" spans="1:13">
      <c r="A2999" s="1">
        <f>HYPERLINK("http://www.twitter.com/NathanBLawrence/status/987553958024577024", "987553958024577024")</f>
        <v/>
      </c>
      <c r="B2999" s="2" t="n">
        <v>43211.20122685185</v>
      </c>
      <c r="C2999" t="n">
        <v>0</v>
      </c>
      <c r="D2999" t="n">
        <v>1810</v>
      </c>
      <c r="E2999" t="s">
        <v>2999</v>
      </c>
      <c r="F2999" t="s"/>
      <c r="G2999" t="s"/>
      <c r="H2999" t="s"/>
      <c r="I2999" t="s"/>
      <c r="J2999" t="n">
        <v>0</v>
      </c>
      <c r="K2999" t="n">
        <v>0</v>
      </c>
      <c r="L2999" t="n">
        <v>1</v>
      </c>
      <c r="M2999" t="n">
        <v>0</v>
      </c>
    </row>
    <row r="3000" spans="1:13">
      <c r="A3000" s="1">
        <f>HYPERLINK("http://www.twitter.com/NathanBLawrence/status/987553752507912192", "987553752507912192")</f>
        <v/>
      </c>
      <c r="B3000" s="2" t="n">
        <v>43211.20065972222</v>
      </c>
      <c r="C3000" t="n">
        <v>0</v>
      </c>
      <c r="D3000" t="n">
        <v>1013</v>
      </c>
      <c r="E3000" t="s">
        <v>3000</v>
      </c>
      <c r="F3000" t="s"/>
      <c r="G3000" t="s"/>
      <c r="H3000" t="s"/>
      <c r="I3000" t="s"/>
      <c r="J3000" t="n">
        <v>0</v>
      </c>
      <c r="K3000" t="n">
        <v>0</v>
      </c>
      <c r="L3000" t="n">
        <v>1</v>
      </c>
      <c r="M3000" t="n">
        <v>0</v>
      </c>
    </row>
    <row r="3001" spans="1:13">
      <c r="A3001" s="1">
        <f>HYPERLINK("http://www.twitter.com/NathanBLawrence/status/987553186381787136", "987553186381787136")</f>
        <v/>
      </c>
      <c r="B3001" s="2" t="n">
        <v>43211.19909722222</v>
      </c>
      <c r="C3001" t="n">
        <v>0</v>
      </c>
      <c r="D3001" t="n">
        <v>15934</v>
      </c>
      <c r="E3001" t="s">
        <v>3001</v>
      </c>
      <c r="F3001" t="s"/>
      <c r="G3001" t="s"/>
      <c r="H3001" t="s"/>
      <c r="I3001" t="s"/>
      <c r="J3001" t="n">
        <v>0</v>
      </c>
      <c r="K3001" t="n">
        <v>0</v>
      </c>
      <c r="L3001" t="n">
        <v>1</v>
      </c>
      <c r="M3001" t="n">
        <v>0</v>
      </c>
    </row>
    <row r="3002" spans="1:13">
      <c r="A3002" s="1">
        <f>HYPERLINK("http://www.twitter.com/NathanBLawrence/status/987552978717609984", "987552978717609984")</f>
        <v/>
      </c>
      <c r="B3002" s="2" t="n">
        <v>43211.19851851852</v>
      </c>
      <c r="C3002" t="n">
        <v>0</v>
      </c>
      <c r="D3002" t="n">
        <v>9809</v>
      </c>
      <c r="E3002" t="s">
        <v>3002</v>
      </c>
      <c r="F3002" t="s"/>
      <c r="G3002" t="s"/>
      <c r="H3002" t="s"/>
      <c r="I3002" t="s"/>
      <c r="J3002" t="n">
        <v>0.4767</v>
      </c>
      <c r="K3002" t="n">
        <v>0.091</v>
      </c>
      <c r="L3002" t="n">
        <v>0.717</v>
      </c>
      <c r="M3002" t="n">
        <v>0.192</v>
      </c>
    </row>
    <row r="3003" spans="1:13">
      <c r="A3003" s="1">
        <f>HYPERLINK("http://www.twitter.com/NathanBLawrence/status/987552726564462593", "987552726564462593")</f>
        <v/>
      </c>
      <c r="B3003" s="2" t="n">
        <v>43211.19782407407</v>
      </c>
      <c r="C3003" t="n">
        <v>2</v>
      </c>
      <c r="D3003" t="n">
        <v>0</v>
      </c>
      <c r="E3003" t="s">
        <v>3003</v>
      </c>
      <c r="F3003" t="s"/>
      <c r="G3003" t="s"/>
      <c r="H3003" t="s"/>
      <c r="I3003" t="s"/>
      <c r="J3003" t="n">
        <v>-0.4404</v>
      </c>
      <c r="K3003" t="n">
        <v>0.266</v>
      </c>
      <c r="L3003" t="n">
        <v>0.734</v>
      </c>
      <c r="M3003" t="n">
        <v>0</v>
      </c>
    </row>
    <row r="3004" spans="1:13">
      <c r="A3004" s="1">
        <f>HYPERLINK("http://www.twitter.com/NathanBLawrence/status/987552102347083776", "987552102347083776")</f>
        <v/>
      </c>
      <c r="B3004" s="2" t="n">
        <v>43211.19609953704</v>
      </c>
      <c r="C3004" t="n">
        <v>1</v>
      </c>
      <c r="D3004" t="n">
        <v>0</v>
      </c>
      <c r="E3004" t="s">
        <v>3004</v>
      </c>
      <c r="F3004" t="s"/>
      <c r="G3004" t="s"/>
      <c r="H3004" t="s"/>
      <c r="I3004" t="s"/>
      <c r="J3004" t="n">
        <v>-0.7783</v>
      </c>
      <c r="K3004" t="n">
        <v>0.382</v>
      </c>
      <c r="L3004" t="n">
        <v>0.618</v>
      </c>
      <c r="M3004" t="n">
        <v>0</v>
      </c>
    </row>
    <row r="3005" spans="1:13">
      <c r="A3005" s="1">
        <f>HYPERLINK("http://www.twitter.com/NathanBLawrence/status/987551716987080705", "987551716987080705")</f>
        <v/>
      </c>
      <c r="B3005" s="2" t="n">
        <v>43211.19503472222</v>
      </c>
      <c r="C3005" t="n">
        <v>0</v>
      </c>
      <c r="D3005" t="n">
        <v>253</v>
      </c>
      <c r="E3005" t="s">
        <v>3005</v>
      </c>
      <c r="F3005" t="s"/>
      <c r="G3005" t="s"/>
      <c r="H3005" t="s"/>
      <c r="I3005" t="s"/>
      <c r="J3005" t="n">
        <v>-0.167</v>
      </c>
      <c r="K3005" t="n">
        <v>0.23</v>
      </c>
      <c r="L3005" t="n">
        <v>0.597</v>
      </c>
      <c r="M3005" t="n">
        <v>0.174</v>
      </c>
    </row>
    <row r="3006" spans="1:13">
      <c r="A3006" s="1">
        <f>HYPERLINK("http://www.twitter.com/NathanBLawrence/status/987551690688811008", "987551690688811008")</f>
        <v/>
      </c>
      <c r="B3006" s="2" t="n">
        <v>43211.19496527778</v>
      </c>
      <c r="C3006" t="n">
        <v>0</v>
      </c>
      <c r="D3006" t="n">
        <v>367</v>
      </c>
      <c r="E3006" t="s">
        <v>3006</v>
      </c>
      <c r="F3006" t="s"/>
      <c r="G3006" t="s"/>
      <c r="H3006" t="s"/>
      <c r="I3006" t="s"/>
      <c r="J3006" t="n">
        <v>0.4199</v>
      </c>
      <c r="K3006" t="n">
        <v>0</v>
      </c>
      <c r="L3006" t="n">
        <v>0.883</v>
      </c>
      <c r="M3006" t="n">
        <v>0.117</v>
      </c>
    </row>
    <row r="3007" spans="1:13">
      <c r="A3007" s="1">
        <f>HYPERLINK("http://www.twitter.com/NathanBLawrence/status/987551168858554368", "987551168858554368")</f>
        <v/>
      </c>
      <c r="B3007" s="2" t="n">
        <v>43211.19353009259</v>
      </c>
      <c r="C3007" t="n">
        <v>2</v>
      </c>
      <c r="D3007" t="n">
        <v>0</v>
      </c>
      <c r="E3007" t="s">
        <v>3007</v>
      </c>
      <c r="F3007" t="s"/>
      <c r="G3007" t="s"/>
      <c r="H3007" t="s"/>
      <c r="I3007" t="s"/>
      <c r="J3007" t="n">
        <v>-0.8481</v>
      </c>
      <c r="K3007" t="n">
        <v>0.338</v>
      </c>
      <c r="L3007" t="n">
        <v>0.662</v>
      </c>
      <c r="M3007" t="n">
        <v>0</v>
      </c>
    </row>
    <row r="3008" spans="1:13">
      <c r="A3008" s="1">
        <f>HYPERLINK("http://www.twitter.com/NathanBLawrence/status/987550184988168192", "987550184988168192")</f>
        <v/>
      </c>
      <c r="B3008" s="2" t="n">
        <v>43211.19081018519</v>
      </c>
      <c r="C3008" t="n">
        <v>0</v>
      </c>
      <c r="D3008" t="n">
        <v>83</v>
      </c>
      <c r="E3008" t="s">
        <v>3008</v>
      </c>
      <c r="F3008" t="s"/>
      <c r="G3008" t="s"/>
      <c r="H3008" t="s"/>
      <c r="I3008" t="s"/>
      <c r="J3008" t="n">
        <v>0</v>
      </c>
      <c r="K3008" t="n">
        <v>0</v>
      </c>
      <c r="L3008" t="n">
        <v>1</v>
      </c>
      <c r="M3008" t="n">
        <v>0</v>
      </c>
    </row>
    <row r="3009" spans="1:13">
      <c r="A3009" s="1">
        <f>HYPERLINK("http://www.twitter.com/NathanBLawrence/status/987550069124730880", "987550069124730880")</f>
        <v/>
      </c>
      <c r="B3009" s="2" t="n">
        <v>43211.19048611111</v>
      </c>
      <c r="C3009" t="n">
        <v>0</v>
      </c>
      <c r="D3009" t="n">
        <v>158</v>
      </c>
      <c r="E3009" t="s">
        <v>3009</v>
      </c>
      <c r="F3009">
        <f>HYPERLINK("http://pbs.twimg.com/media/DbQ0nJfU0AAow4m.jpg", "http://pbs.twimg.com/media/DbQ0nJfU0AAow4m.jpg")</f>
        <v/>
      </c>
      <c r="G3009" t="s"/>
      <c r="H3009" t="s"/>
      <c r="I3009" t="s"/>
      <c r="J3009" t="n">
        <v>0</v>
      </c>
      <c r="K3009" t="n">
        <v>0</v>
      </c>
      <c r="L3009" t="n">
        <v>1</v>
      </c>
      <c r="M3009" t="n">
        <v>0</v>
      </c>
    </row>
    <row r="3010" spans="1:13">
      <c r="A3010" s="1">
        <f>HYPERLINK("http://www.twitter.com/NathanBLawrence/status/987549953890320384", "987549953890320384")</f>
        <v/>
      </c>
      <c r="B3010" s="2" t="n">
        <v>43211.19017361111</v>
      </c>
      <c r="C3010" t="n">
        <v>0</v>
      </c>
      <c r="D3010" t="n">
        <v>81</v>
      </c>
      <c r="E3010" t="s">
        <v>3010</v>
      </c>
      <c r="F3010" t="s"/>
      <c r="G3010" t="s"/>
      <c r="H3010" t="s"/>
      <c r="I3010" t="s"/>
      <c r="J3010" t="n">
        <v>-0.516</v>
      </c>
      <c r="K3010" t="n">
        <v>0.132</v>
      </c>
      <c r="L3010" t="n">
        <v>0.868</v>
      </c>
      <c r="M3010" t="n">
        <v>0</v>
      </c>
    </row>
    <row r="3011" spans="1:13">
      <c r="A3011" s="1">
        <f>HYPERLINK("http://www.twitter.com/NathanBLawrence/status/987549877545684992", "987549877545684992")</f>
        <v/>
      </c>
      <c r="B3011" s="2" t="n">
        <v>43211.18996527778</v>
      </c>
      <c r="C3011" t="n">
        <v>0</v>
      </c>
      <c r="D3011" t="n">
        <v>158</v>
      </c>
      <c r="E3011" t="s">
        <v>3011</v>
      </c>
      <c r="F3011" t="s"/>
      <c r="G3011" t="s"/>
      <c r="H3011" t="s"/>
      <c r="I3011" t="s"/>
      <c r="J3011" t="n">
        <v>-0.8442</v>
      </c>
      <c r="K3011" t="n">
        <v>0.323</v>
      </c>
      <c r="L3011" t="n">
        <v>0.677</v>
      </c>
      <c r="M3011" t="n">
        <v>0</v>
      </c>
    </row>
    <row r="3012" spans="1:13">
      <c r="A3012" s="1">
        <f>HYPERLINK("http://www.twitter.com/NathanBLawrence/status/987549793902841856", "987549793902841856")</f>
        <v/>
      </c>
      <c r="B3012" s="2" t="n">
        <v>43211.18973379629</v>
      </c>
      <c r="C3012" t="n">
        <v>0</v>
      </c>
      <c r="D3012" t="n">
        <v>153</v>
      </c>
      <c r="E3012" t="s">
        <v>3012</v>
      </c>
      <c r="F3012" t="s"/>
      <c r="G3012" t="s"/>
      <c r="H3012" t="s"/>
      <c r="I3012" t="s"/>
      <c r="J3012" t="n">
        <v>-0.0516</v>
      </c>
      <c r="K3012" t="n">
        <v>0.089</v>
      </c>
      <c r="L3012" t="n">
        <v>0.831</v>
      </c>
      <c r="M3012" t="n">
        <v>0.08</v>
      </c>
    </row>
    <row r="3013" spans="1:13">
      <c r="A3013" s="1">
        <f>HYPERLINK("http://www.twitter.com/NathanBLawrence/status/987549707638640640", "987549707638640640")</f>
        <v/>
      </c>
      <c r="B3013" s="2" t="n">
        <v>43211.18949074074</v>
      </c>
      <c r="C3013" t="n">
        <v>0</v>
      </c>
      <c r="D3013" t="n">
        <v>152</v>
      </c>
      <c r="E3013" t="s">
        <v>3013</v>
      </c>
      <c r="F3013" t="s"/>
      <c r="G3013" t="s"/>
      <c r="H3013" t="s"/>
      <c r="I3013" t="s"/>
      <c r="J3013" t="n">
        <v>-0.6166</v>
      </c>
      <c r="K3013" t="n">
        <v>0.161</v>
      </c>
      <c r="L3013" t="n">
        <v>0.839</v>
      </c>
      <c r="M3013" t="n">
        <v>0</v>
      </c>
    </row>
    <row r="3014" spans="1:13">
      <c r="A3014" s="1">
        <f>HYPERLINK("http://www.twitter.com/NathanBLawrence/status/987549628630478848", "987549628630478848")</f>
        <v/>
      </c>
      <c r="B3014" s="2" t="n">
        <v>43211.18927083333</v>
      </c>
      <c r="C3014" t="n">
        <v>0</v>
      </c>
      <c r="D3014" t="n">
        <v>2284</v>
      </c>
      <c r="E3014" t="s">
        <v>3014</v>
      </c>
      <c r="F3014">
        <f>HYPERLINK("https://video.twimg.com/ext_tw_video/985803582808047616/pu/vid/1280x720/RjwzlIJZnvvRLrtZ.mp4?tag=2", "https://video.twimg.com/ext_tw_video/985803582808047616/pu/vid/1280x720/RjwzlIJZnvvRLrtZ.mp4?tag=2")</f>
        <v/>
      </c>
      <c r="G3014" t="s"/>
      <c r="H3014" t="s"/>
      <c r="I3014" t="s"/>
      <c r="J3014" t="n">
        <v>-0.0516</v>
      </c>
      <c r="K3014" t="n">
        <v>0.124</v>
      </c>
      <c r="L3014" t="n">
        <v>0.761</v>
      </c>
      <c r="M3014" t="n">
        <v>0.115</v>
      </c>
    </row>
    <row r="3015" spans="1:13">
      <c r="A3015" s="1">
        <f>HYPERLINK("http://www.twitter.com/NathanBLawrence/status/987544213410668549", "987544213410668549")</f>
        <v/>
      </c>
      <c r="B3015" s="2" t="n">
        <v>43211.1743287037</v>
      </c>
      <c r="C3015" t="n">
        <v>0</v>
      </c>
      <c r="D3015" t="n">
        <v>31931</v>
      </c>
      <c r="E3015" t="s">
        <v>3015</v>
      </c>
      <c r="F3015" t="s"/>
      <c r="G3015" t="s"/>
      <c r="H3015" t="s"/>
      <c r="I3015" t="s"/>
      <c r="J3015" t="n">
        <v>-0.296</v>
      </c>
      <c r="K3015" t="n">
        <v>0.109</v>
      </c>
      <c r="L3015" t="n">
        <v>0.891</v>
      </c>
      <c r="M3015" t="n">
        <v>0</v>
      </c>
    </row>
    <row r="3016" spans="1:13">
      <c r="A3016" s="1">
        <f>HYPERLINK("http://www.twitter.com/NathanBLawrence/status/987544114685067264", "987544114685067264")</f>
        <v/>
      </c>
      <c r="B3016" s="2" t="n">
        <v>43211.1740625</v>
      </c>
      <c r="C3016" t="n">
        <v>0</v>
      </c>
      <c r="D3016" t="n">
        <v>28630</v>
      </c>
      <c r="E3016" t="s">
        <v>3016</v>
      </c>
      <c r="F3016" t="s"/>
      <c r="G3016" t="s"/>
      <c r="H3016" t="s"/>
      <c r="I3016" t="s"/>
      <c r="J3016" t="n">
        <v>0.1027</v>
      </c>
      <c r="K3016" t="n">
        <v>0.105</v>
      </c>
      <c r="L3016" t="n">
        <v>0.773</v>
      </c>
      <c r="M3016" t="n">
        <v>0.123</v>
      </c>
    </row>
    <row r="3017" spans="1:13">
      <c r="A3017" s="1">
        <f>HYPERLINK("http://www.twitter.com/NathanBLawrence/status/987544030425759744", "987544030425759744")</f>
        <v/>
      </c>
      <c r="B3017" s="2" t="n">
        <v>43211.17383101852</v>
      </c>
      <c r="C3017" t="n">
        <v>0</v>
      </c>
      <c r="D3017" t="n">
        <v>31399</v>
      </c>
      <c r="E3017" t="s">
        <v>3017</v>
      </c>
      <c r="F3017" t="s"/>
      <c r="G3017" t="s"/>
      <c r="H3017" t="s"/>
      <c r="I3017" t="s"/>
      <c r="J3017" t="n">
        <v>0.4404</v>
      </c>
      <c r="K3017" t="n">
        <v>0</v>
      </c>
      <c r="L3017" t="n">
        <v>0.888</v>
      </c>
      <c r="M3017" t="n">
        <v>0.112</v>
      </c>
    </row>
    <row r="3018" spans="1:13">
      <c r="A3018" s="1">
        <f>HYPERLINK("http://www.twitter.com/NathanBLawrence/status/987543882094149632", "987543882094149632")</f>
        <v/>
      </c>
      <c r="B3018" s="2" t="n">
        <v>43211.17341435186</v>
      </c>
      <c r="C3018" t="n">
        <v>0</v>
      </c>
      <c r="D3018" t="n">
        <v>46706</v>
      </c>
      <c r="E3018" t="s">
        <v>3018</v>
      </c>
      <c r="F3018" t="s"/>
      <c r="G3018" t="s"/>
      <c r="H3018" t="s"/>
      <c r="I3018" t="s"/>
      <c r="J3018" t="n">
        <v>0.4576</v>
      </c>
      <c r="K3018" t="n">
        <v>0.078</v>
      </c>
      <c r="L3018" t="n">
        <v>0.743</v>
      </c>
      <c r="M3018" t="n">
        <v>0.179</v>
      </c>
    </row>
    <row r="3019" spans="1:13">
      <c r="A3019" s="1">
        <f>HYPERLINK("http://www.twitter.com/NathanBLawrence/status/987543835550007296", "987543835550007296")</f>
        <v/>
      </c>
      <c r="B3019" s="2" t="n">
        <v>43211.17328703704</v>
      </c>
      <c r="C3019" t="n">
        <v>0</v>
      </c>
      <c r="D3019" t="n">
        <v>31850</v>
      </c>
      <c r="E3019" t="s">
        <v>3019</v>
      </c>
      <c r="F3019" t="s"/>
      <c r="G3019" t="s"/>
      <c r="H3019" t="s"/>
      <c r="I3019" t="s"/>
      <c r="J3019" t="n">
        <v>0.3919</v>
      </c>
      <c r="K3019" t="n">
        <v>0.104</v>
      </c>
      <c r="L3019" t="n">
        <v>0.704</v>
      </c>
      <c r="M3019" t="n">
        <v>0.193</v>
      </c>
    </row>
    <row r="3020" spans="1:13">
      <c r="A3020" s="1">
        <f>HYPERLINK("http://www.twitter.com/NathanBLawrence/status/987543614308794369", "987543614308794369")</f>
        <v/>
      </c>
      <c r="B3020" s="2" t="n">
        <v>43211.17267361111</v>
      </c>
      <c r="C3020" t="n">
        <v>0</v>
      </c>
      <c r="D3020" t="n">
        <v>1015</v>
      </c>
      <c r="E3020" t="s">
        <v>3020</v>
      </c>
      <c r="F3020" t="s"/>
      <c r="G3020" t="s"/>
      <c r="H3020" t="s"/>
      <c r="I3020" t="s"/>
      <c r="J3020" t="n">
        <v>0.34</v>
      </c>
      <c r="K3020" t="n">
        <v>0</v>
      </c>
      <c r="L3020" t="n">
        <v>0.888</v>
      </c>
      <c r="M3020" t="n">
        <v>0.112</v>
      </c>
    </row>
    <row r="3021" spans="1:13">
      <c r="A3021" s="1">
        <f>HYPERLINK("http://www.twitter.com/NathanBLawrence/status/987360639344508928", "987360639344508928")</f>
        <v/>
      </c>
      <c r="B3021" s="2" t="n">
        <v>43210.6677662037</v>
      </c>
      <c r="C3021" t="n">
        <v>0</v>
      </c>
      <c r="D3021" t="n">
        <v>566</v>
      </c>
      <c r="E3021" t="s">
        <v>3021</v>
      </c>
      <c r="F3021" t="s"/>
      <c r="G3021" t="s"/>
      <c r="H3021" t="s"/>
      <c r="I3021" t="s"/>
      <c r="J3021" t="n">
        <v>0.4199</v>
      </c>
      <c r="K3021" t="n">
        <v>0</v>
      </c>
      <c r="L3021" t="n">
        <v>0.642</v>
      </c>
      <c r="M3021" t="n">
        <v>0.358</v>
      </c>
    </row>
    <row r="3022" spans="1:13">
      <c r="A3022" s="1">
        <f>HYPERLINK("http://www.twitter.com/NathanBLawrence/status/987360598567497729", "987360598567497729")</f>
        <v/>
      </c>
      <c r="B3022" s="2" t="n">
        <v>43210.66765046296</v>
      </c>
      <c r="C3022" t="n">
        <v>0</v>
      </c>
      <c r="D3022" t="n">
        <v>5583</v>
      </c>
      <c r="E3022" t="s">
        <v>3022</v>
      </c>
      <c r="F3022" t="s"/>
      <c r="G3022" t="s"/>
      <c r="H3022" t="s"/>
      <c r="I3022" t="s"/>
      <c r="J3022" t="n">
        <v>0</v>
      </c>
      <c r="K3022" t="n">
        <v>0</v>
      </c>
      <c r="L3022" t="n">
        <v>1</v>
      </c>
      <c r="M3022" t="n">
        <v>0</v>
      </c>
    </row>
    <row r="3023" spans="1:13">
      <c r="A3023" s="1">
        <f>HYPERLINK("http://www.twitter.com/NathanBLawrence/status/987360364277854209", "987360364277854209")</f>
        <v/>
      </c>
      <c r="B3023" s="2" t="n">
        <v>43210.66700231482</v>
      </c>
      <c r="C3023" t="n">
        <v>0</v>
      </c>
      <c r="D3023" t="n">
        <v>1886</v>
      </c>
      <c r="E3023" t="s">
        <v>3023</v>
      </c>
      <c r="F3023">
        <f>HYPERLINK("http://pbs.twimg.com/media/DbKWYn0W4AAMFxI.jpg", "http://pbs.twimg.com/media/DbKWYn0W4AAMFxI.jpg")</f>
        <v/>
      </c>
      <c r="G3023">
        <f>HYPERLINK("http://pbs.twimg.com/media/DbKWYoNWkAEsiAc.jpg", "http://pbs.twimg.com/media/DbKWYoNWkAEsiAc.jpg")</f>
        <v/>
      </c>
      <c r="H3023">
        <f>HYPERLINK("http://pbs.twimg.com/media/DbKWYn1XUAAvdt3.jpg", "http://pbs.twimg.com/media/DbKWYn1XUAAvdt3.jpg")</f>
        <v/>
      </c>
      <c r="I3023">
        <f>HYPERLINK("http://pbs.twimg.com/media/DbKWYnzXkAARF7W.jpg", "http://pbs.twimg.com/media/DbKWYnzXkAARF7W.jpg")</f>
        <v/>
      </c>
      <c r="J3023" t="n">
        <v>0.7845</v>
      </c>
      <c r="K3023" t="n">
        <v>0</v>
      </c>
      <c r="L3023" t="n">
        <v>0.699</v>
      </c>
      <c r="M3023" t="n">
        <v>0.301</v>
      </c>
    </row>
    <row r="3024" spans="1:13">
      <c r="A3024" s="1">
        <f>HYPERLINK("http://www.twitter.com/NathanBLawrence/status/987360163697840133", "987360163697840133")</f>
        <v/>
      </c>
      <c r="B3024" s="2" t="n">
        <v>43210.66644675926</v>
      </c>
      <c r="C3024" t="n">
        <v>0</v>
      </c>
      <c r="D3024" t="n">
        <v>919</v>
      </c>
      <c r="E3024" t="s">
        <v>3024</v>
      </c>
      <c r="F3024">
        <f>HYPERLINK("http://pbs.twimg.com/media/DbKRZwpVAAEJZMp.jpg", "http://pbs.twimg.com/media/DbKRZwpVAAEJZMp.jpg")</f>
        <v/>
      </c>
      <c r="G3024">
        <f>HYPERLINK("http://pbs.twimg.com/media/DbKRZwpU8AAoAy1.jpg", "http://pbs.twimg.com/media/DbKRZwpU8AAoAy1.jpg")</f>
        <v/>
      </c>
      <c r="H3024">
        <f>HYPERLINK("http://pbs.twimg.com/media/DbKRZwpUwAAa5ww.jpg", "http://pbs.twimg.com/media/DbKRZwpUwAAa5ww.jpg")</f>
        <v/>
      </c>
      <c r="I3024" t="s"/>
      <c r="J3024" t="n">
        <v>0</v>
      </c>
      <c r="K3024" t="n">
        <v>0</v>
      </c>
      <c r="L3024" t="n">
        <v>1</v>
      </c>
      <c r="M3024" t="n">
        <v>0</v>
      </c>
    </row>
    <row r="3025" spans="1:13">
      <c r="A3025" s="1">
        <f>HYPERLINK("http://www.twitter.com/NathanBLawrence/status/987360124741206016", "987360124741206016")</f>
        <v/>
      </c>
      <c r="B3025" s="2" t="n">
        <v>43210.66634259259</v>
      </c>
      <c r="C3025" t="n">
        <v>0</v>
      </c>
      <c r="D3025" t="n">
        <v>1520</v>
      </c>
      <c r="E3025" t="s">
        <v>3025</v>
      </c>
      <c r="F3025" t="s"/>
      <c r="G3025" t="s"/>
      <c r="H3025" t="s"/>
      <c r="I3025" t="s"/>
      <c r="J3025" t="n">
        <v>0</v>
      </c>
      <c r="K3025" t="n">
        <v>0</v>
      </c>
      <c r="L3025" t="n">
        <v>1</v>
      </c>
      <c r="M3025" t="n">
        <v>0</v>
      </c>
    </row>
    <row r="3026" spans="1:13">
      <c r="A3026" s="1">
        <f>HYPERLINK("http://www.twitter.com/NathanBLawrence/status/987360063563038726", "987360063563038726")</f>
        <v/>
      </c>
      <c r="B3026" s="2" t="n">
        <v>43210.66618055556</v>
      </c>
      <c r="C3026" t="n">
        <v>0</v>
      </c>
      <c r="D3026" t="n">
        <v>1117</v>
      </c>
      <c r="E3026" t="s">
        <v>3026</v>
      </c>
      <c r="F3026">
        <f>HYPERLINK("http://pbs.twimg.com/media/DbLODc2X0AAaELj.jpg", "http://pbs.twimg.com/media/DbLODc2X0AAaELj.jpg")</f>
        <v/>
      </c>
      <c r="G3026">
        <f>HYPERLINK("http://pbs.twimg.com/media/DbLODXfX4AUGP0k.jpg", "http://pbs.twimg.com/media/DbLODXfX4AUGP0k.jpg")</f>
        <v/>
      </c>
      <c r="H3026">
        <f>HYPERLINK("http://pbs.twimg.com/media/DbLODXPXUAEnZ9I.jpg", "http://pbs.twimg.com/media/DbLODXPXUAEnZ9I.jpg")</f>
        <v/>
      </c>
      <c r="I3026">
        <f>HYPERLINK("http://pbs.twimg.com/media/DbLODcXXcAAFDiU.jpg", "http://pbs.twimg.com/media/DbLODcXXcAAFDiU.jpg")</f>
        <v/>
      </c>
      <c r="J3026" t="n">
        <v>0</v>
      </c>
      <c r="K3026" t="n">
        <v>0</v>
      </c>
      <c r="L3026" t="n">
        <v>1</v>
      </c>
      <c r="M3026" t="n">
        <v>0</v>
      </c>
    </row>
    <row r="3027" spans="1:13">
      <c r="A3027" s="1">
        <f>HYPERLINK("http://www.twitter.com/NathanBLawrence/status/987359822747123713", "987359822747123713")</f>
        <v/>
      </c>
      <c r="B3027" s="2" t="n">
        <v>43210.66550925926</v>
      </c>
      <c r="C3027" t="n">
        <v>0</v>
      </c>
      <c r="D3027" t="n">
        <v>3560</v>
      </c>
      <c r="E3027" t="s">
        <v>3027</v>
      </c>
      <c r="F3027" t="s"/>
      <c r="G3027" t="s"/>
      <c r="H3027" t="s"/>
      <c r="I3027" t="s"/>
      <c r="J3027" t="n">
        <v>-0.4404</v>
      </c>
      <c r="K3027" t="n">
        <v>0.187</v>
      </c>
      <c r="L3027" t="n">
        <v>0.727</v>
      </c>
      <c r="M3027" t="n">
        <v>0.08699999999999999</v>
      </c>
    </row>
    <row r="3028" spans="1:13">
      <c r="A3028" s="1">
        <f>HYPERLINK("http://www.twitter.com/NathanBLawrence/status/987357568065392641", "987357568065392641")</f>
        <v/>
      </c>
      <c r="B3028" s="2" t="n">
        <v>43210.65929398148</v>
      </c>
      <c r="C3028" t="n">
        <v>0</v>
      </c>
      <c r="D3028" t="n">
        <v>325</v>
      </c>
      <c r="E3028" t="s">
        <v>3028</v>
      </c>
      <c r="F3028">
        <f>HYPERLINK("http://pbs.twimg.com/media/DbJ0ybOVwAA5C8g.jpg", "http://pbs.twimg.com/media/DbJ0ybOVwAA5C8g.jpg")</f>
        <v/>
      </c>
      <c r="G3028" t="s"/>
      <c r="H3028" t="s"/>
      <c r="I3028" t="s"/>
      <c r="J3028" t="n">
        <v>0.2023</v>
      </c>
      <c r="K3028" t="n">
        <v>0</v>
      </c>
      <c r="L3028" t="n">
        <v>0.924</v>
      </c>
      <c r="M3028" t="n">
        <v>0.076</v>
      </c>
    </row>
    <row r="3029" spans="1:13">
      <c r="A3029" s="1">
        <f>HYPERLINK("http://www.twitter.com/NathanBLawrence/status/987356360504324097", "987356360504324097")</f>
        <v/>
      </c>
      <c r="B3029" s="2" t="n">
        <v>43210.65596064815</v>
      </c>
      <c r="C3029" t="n">
        <v>0</v>
      </c>
      <c r="D3029" t="n">
        <v>352</v>
      </c>
      <c r="E3029" t="s">
        <v>3029</v>
      </c>
      <c r="F3029">
        <f>HYPERLINK("http://pbs.twimg.com/media/DbKwVToUMAEkCfH.jpg", "http://pbs.twimg.com/media/DbKwVToUMAEkCfH.jpg")</f>
        <v/>
      </c>
      <c r="G3029" t="s"/>
      <c r="H3029" t="s"/>
      <c r="I3029" t="s"/>
      <c r="J3029" t="n">
        <v>0</v>
      </c>
      <c r="K3029" t="n">
        <v>0</v>
      </c>
      <c r="L3029" t="n">
        <v>1</v>
      </c>
      <c r="M3029" t="n">
        <v>0</v>
      </c>
    </row>
    <row r="3030" spans="1:13">
      <c r="A3030" s="1">
        <f>HYPERLINK("http://www.twitter.com/NathanBLawrence/status/987356259522195456", "987356259522195456")</f>
        <v/>
      </c>
      <c r="B3030" s="2" t="n">
        <v>43210.65568287037</v>
      </c>
      <c r="C3030" t="n">
        <v>0</v>
      </c>
      <c r="D3030" t="n">
        <v>230</v>
      </c>
      <c r="E3030" t="s">
        <v>3030</v>
      </c>
      <c r="F3030">
        <f>HYPERLINK("http://pbs.twimg.com/media/DbLoyZVUQAEFoox.jpg", "http://pbs.twimg.com/media/DbLoyZVUQAEFoox.jpg")</f>
        <v/>
      </c>
      <c r="G3030">
        <f>HYPERLINK("http://pbs.twimg.com/media/DbLoyZeU0AA35C1.jpg", "http://pbs.twimg.com/media/DbLoyZeU0AA35C1.jpg")</f>
        <v/>
      </c>
      <c r="H3030">
        <f>HYPERLINK("http://pbs.twimg.com/media/DbLoyaEVMAEjj7z.jpg", "http://pbs.twimg.com/media/DbLoyaEVMAEjj7z.jpg")</f>
        <v/>
      </c>
      <c r="I3030">
        <f>HYPERLINK("http://pbs.twimg.com/media/DbLoyaCUQAA1a-W.jpg", "http://pbs.twimg.com/media/DbLoyaCUQAA1a-W.jpg")</f>
        <v/>
      </c>
      <c r="J3030" t="n">
        <v>0.296</v>
      </c>
      <c r="K3030" t="n">
        <v>0</v>
      </c>
      <c r="L3030" t="n">
        <v>0.885</v>
      </c>
      <c r="M3030" t="n">
        <v>0.115</v>
      </c>
    </row>
    <row r="3031" spans="1:13">
      <c r="A3031" s="1">
        <f>HYPERLINK("http://www.twitter.com/NathanBLawrence/status/987355953187008512", "987355953187008512")</f>
        <v/>
      </c>
      <c r="B3031" s="2" t="n">
        <v>43210.65483796296</v>
      </c>
      <c r="C3031" t="n">
        <v>0</v>
      </c>
      <c r="D3031" t="n">
        <v>430</v>
      </c>
      <c r="E3031" t="s">
        <v>3031</v>
      </c>
      <c r="F3031" t="s"/>
      <c r="G3031" t="s"/>
      <c r="H3031" t="s"/>
      <c r="I3031" t="s"/>
      <c r="J3031" t="n">
        <v>0</v>
      </c>
      <c r="K3031" t="n">
        <v>0</v>
      </c>
      <c r="L3031" t="n">
        <v>1</v>
      </c>
      <c r="M3031" t="n">
        <v>0</v>
      </c>
    </row>
    <row r="3032" spans="1:13">
      <c r="A3032" s="1">
        <f>HYPERLINK("http://www.twitter.com/NathanBLawrence/status/987355731216101376", "987355731216101376")</f>
        <v/>
      </c>
      <c r="B3032" s="2" t="n">
        <v>43210.65422453704</v>
      </c>
      <c r="C3032" t="n">
        <v>0</v>
      </c>
      <c r="D3032" t="n">
        <v>23860</v>
      </c>
      <c r="E3032" t="s">
        <v>3032</v>
      </c>
      <c r="F3032" t="s"/>
      <c r="G3032" t="s"/>
      <c r="H3032" t="s"/>
      <c r="I3032" t="s"/>
      <c r="J3032" t="n">
        <v>0.3612</v>
      </c>
      <c r="K3032" t="n">
        <v>0</v>
      </c>
      <c r="L3032" t="n">
        <v>0.906</v>
      </c>
      <c r="M3032" t="n">
        <v>0.094</v>
      </c>
    </row>
    <row r="3033" spans="1:13">
      <c r="A3033" s="1">
        <f>HYPERLINK("http://www.twitter.com/NathanBLawrence/status/987355639411163136", "987355639411163136")</f>
        <v/>
      </c>
      <c r="B3033" s="2" t="n">
        <v>43210.65396990741</v>
      </c>
      <c r="C3033" t="n">
        <v>0</v>
      </c>
      <c r="D3033" t="n">
        <v>28815</v>
      </c>
      <c r="E3033" t="s">
        <v>3033</v>
      </c>
      <c r="F3033" t="s"/>
      <c r="G3033" t="s"/>
      <c r="H3033" t="s"/>
      <c r="I3033" t="s"/>
      <c r="J3033" t="n">
        <v>-0.5984</v>
      </c>
      <c r="K3033" t="n">
        <v>0.197</v>
      </c>
      <c r="L3033" t="n">
        <v>0.803</v>
      </c>
      <c r="M3033" t="n">
        <v>0</v>
      </c>
    </row>
    <row r="3034" spans="1:13">
      <c r="A3034" s="1">
        <f>HYPERLINK("http://www.twitter.com/NathanBLawrence/status/987355467683774464", "987355467683774464")</f>
        <v/>
      </c>
      <c r="B3034" s="2" t="n">
        <v>43210.65349537037</v>
      </c>
      <c r="C3034" t="n">
        <v>0</v>
      </c>
      <c r="D3034" t="n">
        <v>19834</v>
      </c>
      <c r="E3034" t="s">
        <v>3034</v>
      </c>
      <c r="F3034" t="s"/>
      <c r="G3034" t="s"/>
      <c r="H3034" t="s"/>
      <c r="I3034" t="s"/>
      <c r="J3034" t="n">
        <v>0.8997000000000001</v>
      </c>
      <c r="K3034" t="n">
        <v>0</v>
      </c>
      <c r="L3034" t="n">
        <v>0.634</v>
      </c>
      <c r="M3034" t="n">
        <v>0.366</v>
      </c>
    </row>
    <row r="3035" spans="1:13">
      <c r="A3035" s="1">
        <f>HYPERLINK("http://www.twitter.com/NathanBLawrence/status/987355380165443586", "987355380165443586")</f>
        <v/>
      </c>
      <c r="B3035" s="2" t="n">
        <v>43210.65325231481</v>
      </c>
      <c r="C3035" t="n">
        <v>0</v>
      </c>
      <c r="D3035" t="n">
        <v>30226</v>
      </c>
      <c r="E3035" t="s">
        <v>3035</v>
      </c>
      <c r="F3035" t="s"/>
      <c r="G3035" t="s"/>
      <c r="H3035" t="s"/>
      <c r="I3035" t="s"/>
      <c r="J3035" t="n">
        <v>-0.7089</v>
      </c>
      <c r="K3035" t="n">
        <v>0.211</v>
      </c>
      <c r="L3035" t="n">
        <v>0.789</v>
      </c>
      <c r="M3035" t="n">
        <v>0</v>
      </c>
    </row>
    <row r="3036" spans="1:13">
      <c r="A3036" s="1">
        <f>HYPERLINK("http://www.twitter.com/NathanBLawrence/status/987355189077159936", "987355189077159936")</f>
        <v/>
      </c>
      <c r="B3036" s="2" t="n">
        <v>43210.6527199074</v>
      </c>
      <c r="C3036" t="n">
        <v>0</v>
      </c>
      <c r="D3036" t="n">
        <v>942</v>
      </c>
      <c r="E3036" t="s">
        <v>3036</v>
      </c>
      <c r="F3036" t="s"/>
      <c r="G3036" t="s"/>
      <c r="H3036" t="s"/>
      <c r="I3036" t="s"/>
      <c r="J3036" t="n">
        <v>0</v>
      </c>
      <c r="K3036" t="n">
        <v>0</v>
      </c>
      <c r="L3036" t="n">
        <v>1</v>
      </c>
      <c r="M3036" t="n">
        <v>0</v>
      </c>
    </row>
    <row r="3037" spans="1:13">
      <c r="A3037" s="1">
        <f>HYPERLINK("http://www.twitter.com/NathanBLawrence/status/987355135423660032", "987355135423660032")</f>
        <v/>
      </c>
      <c r="B3037" s="2" t="n">
        <v>43210.65258101852</v>
      </c>
      <c r="C3037" t="n">
        <v>0</v>
      </c>
      <c r="D3037" t="n">
        <v>11595</v>
      </c>
      <c r="E3037" t="s">
        <v>3037</v>
      </c>
      <c r="F3037" t="s"/>
      <c r="G3037" t="s"/>
      <c r="H3037" t="s"/>
      <c r="I3037" t="s"/>
      <c r="J3037" t="n">
        <v>-0.21</v>
      </c>
      <c r="K3037" t="n">
        <v>0.129</v>
      </c>
      <c r="L3037" t="n">
        <v>0.8129999999999999</v>
      </c>
      <c r="M3037" t="n">
        <v>0.058</v>
      </c>
    </row>
    <row r="3038" spans="1:13">
      <c r="A3038" s="1">
        <f>HYPERLINK("http://www.twitter.com/NathanBLawrence/status/987217166100348928", "987217166100348928")</f>
        <v/>
      </c>
      <c r="B3038" s="2" t="n">
        <v>43210.27185185185</v>
      </c>
      <c r="C3038" t="n">
        <v>0</v>
      </c>
      <c r="D3038" t="n">
        <v>796</v>
      </c>
      <c r="E3038" t="s">
        <v>3038</v>
      </c>
      <c r="F3038">
        <f>HYPERLINK("http://pbs.twimg.com/media/DbLhBIcX4AE-kLe.jpg", "http://pbs.twimg.com/media/DbLhBIcX4AE-kLe.jpg")</f>
        <v/>
      </c>
      <c r="G3038" t="s"/>
      <c r="H3038" t="s"/>
      <c r="I3038" t="s"/>
      <c r="J3038" t="n">
        <v>-0.0258</v>
      </c>
      <c r="K3038" t="n">
        <v>0.099</v>
      </c>
      <c r="L3038" t="n">
        <v>0.8070000000000001</v>
      </c>
      <c r="M3038" t="n">
        <v>0.094</v>
      </c>
    </row>
    <row r="3039" spans="1:13">
      <c r="A3039" s="1">
        <f>HYPERLINK("http://www.twitter.com/NathanBLawrence/status/987216747345330176", "987216747345330176")</f>
        <v/>
      </c>
      <c r="B3039" s="2" t="n">
        <v>43210.27069444444</v>
      </c>
      <c r="C3039" t="n">
        <v>0</v>
      </c>
      <c r="D3039" t="n">
        <v>1605</v>
      </c>
      <c r="E3039" t="s">
        <v>3039</v>
      </c>
      <c r="F3039" t="s"/>
      <c r="G3039" t="s"/>
      <c r="H3039" t="s"/>
      <c r="I3039" t="s"/>
      <c r="J3039" t="n">
        <v>0</v>
      </c>
      <c r="K3039" t="n">
        <v>0</v>
      </c>
      <c r="L3039" t="n">
        <v>1</v>
      </c>
      <c r="M3039" t="n">
        <v>0</v>
      </c>
    </row>
    <row r="3040" spans="1:13">
      <c r="A3040" s="1">
        <f>HYPERLINK("http://www.twitter.com/NathanBLawrence/status/987216674603454464", "987216674603454464")</f>
        <v/>
      </c>
      <c r="B3040" s="2" t="n">
        <v>43210.27049768518</v>
      </c>
      <c r="C3040" t="n">
        <v>0</v>
      </c>
      <c r="D3040" t="n">
        <v>249</v>
      </c>
      <c r="E3040" t="s">
        <v>3040</v>
      </c>
      <c r="F3040" t="s"/>
      <c r="G3040" t="s"/>
      <c r="H3040" t="s"/>
      <c r="I3040" t="s"/>
      <c r="J3040" t="n">
        <v>-0.5172</v>
      </c>
      <c r="K3040" t="n">
        <v>0.242</v>
      </c>
      <c r="L3040" t="n">
        <v>0.593</v>
      </c>
      <c r="M3040" t="n">
        <v>0.165</v>
      </c>
    </row>
    <row r="3041" spans="1:13">
      <c r="A3041" s="1">
        <f>HYPERLINK("http://www.twitter.com/NathanBLawrence/status/987216583331168256", "987216583331168256")</f>
        <v/>
      </c>
      <c r="B3041" s="2" t="n">
        <v>43210.27024305556</v>
      </c>
      <c r="C3041" t="n">
        <v>0</v>
      </c>
      <c r="D3041" t="n">
        <v>584</v>
      </c>
      <c r="E3041" t="s">
        <v>3041</v>
      </c>
      <c r="F3041">
        <f>HYPERLINK("http://pbs.twimg.com/media/DbMSq97UMAUezTc.jpg", "http://pbs.twimg.com/media/DbMSq97UMAUezTc.jpg")</f>
        <v/>
      </c>
      <c r="G3041">
        <f>HYPERLINK("http://pbs.twimg.com/media/DbMSq97VAAALKE9.jpg", "http://pbs.twimg.com/media/DbMSq97VAAALKE9.jpg")</f>
        <v/>
      </c>
      <c r="H3041" t="s"/>
      <c r="I3041" t="s"/>
      <c r="J3041" t="n">
        <v>0.4574</v>
      </c>
      <c r="K3041" t="n">
        <v>0</v>
      </c>
      <c r="L3041" t="n">
        <v>0.87</v>
      </c>
      <c r="M3041" t="n">
        <v>0.13</v>
      </c>
    </row>
    <row r="3042" spans="1:13">
      <c r="A3042" s="1">
        <f>HYPERLINK("http://www.twitter.com/NathanBLawrence/status/987216461314719744", "987216461314719744")</f>
        <v/>
      </c>
      <c r="B3042" s="2" t="n">
        <v>43210.2699074074</v>
      </c>
      <c r="C3042" t="n">
        <v>0</v>
      </c>
      <c r="D3042" t="n">
        <v>2355</v>
      </c>
      <c r="E3042" t="s">
        <v>3042</v>
      </c>
      <c r="F3042">
        <f>HYPERLINK("https://video.twimg.com/ext_tw_video/987158940742909954/pu/vid/1280x720/iPWWlnYqwRM_ke3r.mp4?tag=3", "https://video.twimg.com/ext_tw_video/987158940742909954/pu/vid/1280x720/iPWWlnYqwRM_ke3r.mp4?tag=3")</f>
        <v/>
      </c>
      <c r="G3042" t="s"/>
      <c r="H3042" t="s"/>
      <c r="I3042" t="s"/>
      <c r="J3042" t="n">
        <v>0.624</v>
      </c>
      <c r="K3042" t="n">
        <v>0</v>
      </c>
      <c r="L3042" t="n">
        <v>0.837</v>
      </c>
      <c r="M3042" t="n">
        <v>0.163</v>
      </c>
    </row>
    <row r="3043" spans="1:13">
      <c r="A3043" s="1">
        <f>HYPERLINK("http://www.twitter.com/NathanBLawrence/status/987216287897042944", "987216287897042944")</f>
        <v/>
      </c>
      <c r="B3043" s="2" t="n">
        <v>43210.26943287037</v>
      </c>
      <c r="C3043" t="n">
        <v>0</v>
      </c>
      <c r="D3043" t="n">
        <v>160</v>
      </c>
      <c r="E3043" t="s">
        <v>3043</v>
      </c>
      <c r="F3043" t="s"/>
      <c r="G3043" t="s"/>
      <c r="H3043" t="s"/>
      <c r="I3043" t="s"/>
      <c r="J3043" t="n">
        <v>0.694</v>
      </c>
      <c r="K3043" t="n">
        <v>0</v>
      </c>
      <c r="L3043" t="n">
        <v>0.8</v>
      </c>
      <c r="M3043" t="n">
        <v>0.2</v>
      </c>
    </row>
    <row r="3044" spans="1:13">
      <c r="A3044" s="1">
        <f>HYPERLINK("http://www.twitter.com/NathanBLawrence/status/987216233060679680", "987216233060679680")</f>
        <v/>
      </c>
      <c r="B3044" s="2" t="n">
        <v>43210.2692824074</v>
      </c>
      <c r="C3044" t="n">
        <v>0</v>
      </c>
      <c r="D3044" t="n">
        <v>232</v>
      </c>
      <c r="E3044" t="s">
        <v>3044</v>
      </c>
      <c r="F3044" t="s"/>
      <c r="G3044" t="s"/>
      <c r="H3044" t="s"/>
      <c r="I3044" t="s"/>
      <c r="J3044" t="n">
        <v>0.1027</v>
      </c>
      <c r="K3044" t="n">
        <v>0</v>
      </c>
      <c r="L3044" t="n">
        <v>0.9350000000000001</v>
      </c>
      <c r="M3044" t="n">
        <v>0.065</v>
      </c>
    </row>
    <row r="3045" spans="1:13">
      <c r="A3045" s="1">
        <f>HYPERLINK("http://www.twitter.com/NathanBLawrence/status/987216114596720640", "987216114596720640")</f>
        <v/>
      </c>
      <c r="B3045" s="2" t="n">
        <v>43210.26894675926</v>
      </c>
      <c r="C3045" t="n">
        <v>0</v>
      </c>
      <c r="D3045" t="n">
        <v>593</v>
      </c>
      <c r="E3045" t="s">
        <v>3045</v>
      </c>
      <c r="F3045" t="s"/>
      <c r="G3045" t="s"/>
      <c r="H3045" t="s"/>
      <c r="I3045" t="s"/>
      <c r="J3045" t="n">
        <v>-0.1531</v>
      </c>
      <c r="K3045" t="n">
        <v>0.074</v>
      </c>
      <c r="L3045" t="n">
        <v>0.926</v>
      </c>
      <c r="M3045" t="n">
        <v>0</v>
      </c>
    </row>
    <row r="3046" spans="1:13">
      <c r="A3046" s="1">
        <f>HYPERLINK("http://www.twitter.com/NathanBLawrence/status/987216019742576640", "987216019742576640")</f>
        <v/>
      </c>
      <c r="B3046" s="2" t="n">
        <v>43210.26869212963</v>
      </c>
      <c r="C3046" t="n">
        <v>0</v>
      </c>
      <c r="D3046" t="n">
        <v>2156</v>
      </c>
      <c r="E3046" t="s">
        <v>3046</v>
      </c>
      <c r="F3046" t="s"/>
      <c r="G3046" t="s"/>
      <c r="H3046" t="s"/>
      <c r="I3046" t="s"/>
      <c r="J3046" t="n">
        <v>0</v>
      </c>
      <c r="K3046" t="n">
        <v>0</v>
      </c>
      <c r="L3046" t="n">
        <v>1</v>
      </c>
      <c r="M3046" t="n">
        <v>0</v>
      </c>
    </row>
    <row r="3047" spans="1:13">
      <c r="A3047" s="1">
        <f>HYPERLINK("http://www.twitter.com/NathanBLawrence/status/987215889501057024", "987215889501057024")</f>
        <v/>
      </c>
      <c r="B3047" s="2" t="n">
        <v>43210.26833333333</v>
      </c>
      <c r="C3047" t="n">
        <v>0</v>
      </c>
      <c r="D3047" t="n">
        <v>4588</v>
      </c>
      <c r="E3047" t="s">
        <v>3047</v>
      </c>
      <c r="F3047" t="s"/>
      <c r="G3047" t="s"/>
      <c r="H3047" t="s"/>
      <c r="I3047" t="s"/>
      <c r="J3047" t="n">
        <v>0</v>
      </c>
      <c r="K3047" t="n">
        <v>0</v>
      </c>
      <c r="L3047" t="n">
        <v>1</v>
      </c>
      <c r="M3047" t="n">
        <v>0</v>
      </c>
    </row>
    <row r="3048" spans="1:13">
      <c r="A3048" s="1">
        <f>HYPERLINK("http://www.twitter.com/NathanBLawrence/status/987215591340572672", "987215591340572672")</f>
        <v/>
      </c>
      <c r="B3048" s="2" t="n">
        <v>43210.26751157407</v>
      </c>
      <c r="C3048" t="n">
        <v>0</v>
      </c>
      <c r="D3048" t="n">
        <v>7420</v>
      </c>
      <c r="E3048" t="s">
        <v>3048</v>
      </c>
      <c r="F3048">
        <f>HYPERLINK("http://pbs.twimg.com/media/DbMcAH-UMAEiyi3.jpg", "http://pbs.twimg.com/media/DbMcAH-UMAEiyi3.jpg")</f>
        <v/>
      </c>
      <c r="G3048" t="s"/>
      <c r="H3048" t="s"/>
      <c r="I3048" t="s"/>
      <c r="J3048" t="n">
        <v>-0.128</v>
      </c>
      <c r="K3048" t="n">
        <v>0.158</v>
      </c>
      <c r="L3048" t="n">
        <v>0.667</v>
      </c>
      <c r="M3048" t="n">
        <v>0.175</v>
      </c>
    </row>
    <row r="3049" spans="1:13">
      <c r="A3049" s="1">
        <f>HYPERLINK("http://www.twitter.com/NathanBLawrence/status/987215492224991232", "987215492224991232")</f>
        <v/>
      </c>
      <c r="B3049" s="2" t="n">
        <v>43210.26723379629</v>
      </c>
      <c r="C3049" t="n">
        <v>0</v>
      </c>
      <c r="D3049" t="n">
        <v>5075</v>
      </c>
      <c r="E3049" t="s">
        <v>3049</v>
      </c>
      <c r="F3049" t="s"/>
      <c r="G3049" t="s"/>
      <c r="H3049" t="s"/>
      <c r="I3049" t="s"/>
      <c r="J3049" t="n">
        <v>0</v>
      </c>
      <c r="K3049" t="n">
        <v>0</v>
      </c>
      <c r="L3049" t="n">
        <v>1</v>
      </c>
      <c r="M3049" t="n">
        <v>0</v>
      </c>
    </row>
    <row r="3050" spans="1:13">
      <c r="A3050" s="1">
        <f>HYPERLINK("http://www.twitter.com/NathanBLawrence/status/987215298221686784", "987215298221686784")</f>
        <v/>
      </c>
      <c r="B3050" s="2" t="n">
        <v>43210.26670138889</v>
      </c>
      <c r="C3050" t="n">
        <v>0</v>
      </c>
      <c r="D3050" t="n">
        <v>436</v>
      </c>
      <c r="E3050" t="s">
        <v>3050</v>
      </c>
      <c r="F3050">
        <f>HYPERLINK("http://pbs.twimg.com/media/DbM2cnaVQAAxWJ3.jpg", "http://pbs.twimg.com/media/DbM2cnaVQAAxWJ3.jpg")</f>
        <v/>
      </c>
      <c r="G3050" t="s"/>
      <c r="H3050" t="s"/>
      <c r="I3050" t="s"/>
      <c r="J3050" t="n">
        <v>-0.8442</v>
      </c>
      <c r="K3050" t="n">
        <v>0.394</v>
      </c>
      <c r="L3050" t="n">
        <v>0.606</v>
      </c>
      <c r="M3050" t="n">
        <v>0</v>
      </c>
    </row>
    <row r="3051" spans="1:13">
      <c r="A3051" s="1">
        <f>HYPERLINK("http://www.twitter.com/NathanBLawrence/status/987214845551390720", "987214845551390720")</f>
        <v/>
      </c>
      <c r="B3051" s="2" t="n">
        <v>43210.26545138889</v>
      </c>
      <c r="C3051" t="n">
        <v>0</v>
      </c>
      <c r="D3051" t="n">
        <v>684</v>
      </c>
      <c r="E3051" t="s">
        <v>3051</v>
      </c>
      <c r="F3051" t="s"/>
      <c r="G3051" t="s"/>
      <c r="H3051" t="s"/>
      <c r="I3051" t="s"/>
      <c r="J3051" t="n">
        <v>0.4404</v>
      </c>
      <c r="K3051" t="n">
        <v>0</v>
      </c>
      <c r="L3051" t="n">
        <v>0.861</v>
      </c>
      <c r="M3051" t="n">
        <v>0.139</v>
      </c>
    </row>
    <row r="3052" spans="1:13">
      <c r="A3052" s="1">
        <f>HYPERLINK("http://www.twitter.com/NathanBLawrence/status/987213837211353088", "987213837211353088")</f>
        <v/>
      </c>
      <c r="B3052" s="2" t="n">
        <v>43210.26266203704</v>
      </c>
      <c r="C3052" t="n">
        <v>0</v>
      </c>
      <c r="D3052" t="n">
        <v>5257</v>
      </c>
      <c r="E3052" t="s">
        <v>3052</v>
      </c>
      <c r="F3052" t="s"/>
      <c r="G3052" t="s"/>
      <c r="H3052" t="s"/>
      <c r="I3052" t="s"/>
      <c r="J3052" t="n">
        <v>-0.6705</v>
      </c>
      <c r="K3052" t="n">
        <v>0.184</v>
      </c>
      <c r="L3052" t="n">
        <v>0.8159999999999999</v>
      </c>
      <c r="M3052" t="n">
        <v>0</v>
      </c>
    </row>
    <row r="3053" spans="1:13">
      <c r="A3053" s="1">
        <f>HYPERLINK("http://www.twitter.com/NathanBLawrence/status/987213742873100288", "987213742873100288")</f>
        <v/>
      </c>
      <c r="B3053" s="2" t="n">
        <v>43210.2624074074</v>
      </c>
      <c r="C3053" t="n">
        <v>0</v>
      </c>
      <c r="D3053" t="n">
        <v>3367</v>
      </c>
      <c r="E3053" t="s">
        <v>3053</v>
      </c>
      <c r="F3053">
        <f>HYPERLINK("http://pbs.twimg.com/media/DbMj3wwWkAAOJTp.jpg", "http://pbs.twimg.com/media/DbMj3wwWkAAOJTp.jpg")</f>
        <v/>
      </c>
      <c r="G3053" t="s"/>
      <c r="H3053" t="s"/>
      <c r="I3053" t="s"/>
      <c r="J3053" t="n">
        <v>-0.1531</v>
      </c>
      <c r="K3053" t="n">
        <v>0.068</v>
      </c>
      <c r="L3053" t="n">
        <v>0.9320000000000001</v>
      </c>
      <c r="M3053" t="n">
        <v>0</v>
      </c>
    </row>
    <row r="3054" spans="1:13">
      <c r="A3054" s="1">
        <f>HYPERLINK("http://www.twitter.com/NathanBLawrence/status/987213681904644096", "987213681904644096")</f>
        <v/>
      </c>
      <c r="B3054" s="2" t="n">
        <v>43210.2622337963</v>
      </c>
      <c r="C3054" t="n">
        <v>0</v>
      </c>
      <c r="D3054" t="n">
        <v>410</v>
      </c>
      <c r="E3054" t="s">
        <v>3054</v>
      </c>
      <c r="F3054" t="s"/>
      <c r="G3054" t="s"/>
      <c r="H3054" t="s"/>
      <c r="I3054" t="s"/>
      <c r="J3054" t="n">
        <v>-0.7351</v>
      </c>
      <c r="K3054" t="n">
        <v>0.246</v>
      </c>
      <c r="L3054" t="n">
        <v>0.754</v>
      </c>
      <c r="M3054" t="n">
        <v>0</v>
      </c>
    </row>
    <row r="3055" spans="1:13">
      <c r="A3055" s="1">
        <f>HYPERLINK("http://www.twitter.com/NathanBLawrence/status/987213429394976768", "987213429394976768")</f>
        <v/>
      </c>
      <c r="B3055" s="2" t="n">
        <v>43210.26153935185</v>
      </c>
      <c r="C3055" t="n">
        <v>0</v>
      </c>
      <c r="D3055" t="n">
        <v>3007</v>
      </c>
      <c r="E3055" t="s">
        <v>3055</v>
      </c>
      <c r="F3055">
        <f>HYPERLINK("http://pbs.twimg.com/media/Da6XzqGUQAIlCEv.jpg", "http://pbs.twimg.com/media/Da6XzqGUQAIlCEv.jpg")</f>
        <v/>
      </c>
      <c r="G3055" t="s"/>
      <c r="H3055" t="s"/>
      <c r="I3055" t="s"/>
      <c r="J3055" t="n">
        <v>0</v>
      </c>
      <c r="K3055" t="n">
        <v>0</v>
      </c>
      <c r="L3055" t="n">
        <v>1</v>
      </c>
      <c r="M3055" t="n">
        <v>0</v>
      </c>
    </row>
    <row r="3056" spans="1:13">
      <c r="A3056" s="1">
        <f>HYPERLINK("http://www.twitter.com/NathanBLawrence/status/987213346284777472", "987213346284777472")</f>
        <v/>
      </c>
      <c r="B3056" s="2" t="n">
        <v>43210.26130787037</v>
      </c>
      <c r="C3056" t="n">
        <v>0</v>
      </c>
      <c r="D3056" t="n">
        <v>1043</v>
      </c>
      <c r="E3056" t="s">
        <v>3056</v>
      </c>
      <c r="F3056" t="s"/>
      <c r="G3056" t="s"/>
      <c r="H3056" t="s"/>
      <c r="I3056" t="s"/>
      <c r="J3056" t="n">
        <v>-0.6249</v>
      </c>
      <c r="K3056" t="n">
        <v>0.203</v>
      </c>
      <c r="L3056" t="n">
        <v>0.797</v>
      </c>
      <c r="M3056" t="n">
        <v>0</v>
      </c>
    </row>
    <row r="3057" spans="1:13">
      <c r="A3057" s="1">
        <f>HYPERLINK("http://www.twitter.com/NathanBLawrence/status/987212473907359745", "987212473907359745")</f>
        <v/>
      </c>
      <c r="B3057" s="2" t="n">
        <v>43210.25890046296</v>
      </c>
      <c r="C3057" t="n">
        <v>0</v>
      </c>
      <c r="D3057" t="n">
        <v>8961</v>
      </c>
      <c r="E3057" t="s">
        <v>3057</v>
      </c>
      <c r="F3057" t="s"/>
      <c r="G3057" t="s"/>
      <c r="H3057" t="s"/>
      <c r="I3057" t="s"/>
      <c r="J3057" t="n">
        <v>0</v>
      </c>
      <c r="K3057" t="n">
        <v>0</v>
      </c>
      <c r="L3057" t="n">
        <v>1</v>
      </c>
      <c r="M3057" t="n">
        <v>0</v>
      </c>
    </row>
    <row r="3058" spans="1:13">
      <c r="A3058" s="1">
        <f>HYPERLINK("http://www.twitter.com/NathanBLawrence/status/987212412536303616", "987212412536303616")</f>
        <v/>
      </c>
      <c r="B3058" s="2" t="n">
        <v>43210.25873842592</v>
      </c>
      <c r="C3058" t="n">
        <v>0</v>
      </c>
      <c r="D3058" t="n">
        <v>1584</v>
      </c>
      <c r="E3058" t="s">
        <v>3058</v>
      </c>
      <c r="F3058">
        <f>HYPERLINK("http://pbs.twimg.com/media/DbK26B1VQAAtAMe.jpg", "http://pbs.twimg.com/media/DbK26B1VQAAtAMe.jpg")</f>
        <v/>
      </c>
      <c r="G3058" t="s"/>
      <c r="H3058" t="s"/>
      <c r="I3058" t="s"/>
      <c r="J3058" t="n">
        <v>0</v>
      </c>
      <c r="K3058" t="n">
        <v>0</v>
      </c>
      <c r="L3058" t="n">
        <v>1</v>
      </c>
      <c r="M3058" t="n">
        <v>0</v>
      </c>
    </row>
    <row r="3059" spans="1:13">
      <c r="A3059" s="1">
        <f>HYPERLINK("http://www.twitter.com/NathanBLawrence/status/987212287156011008", "987212287156011008")</f>
        <v/>
      </c>
      <c r="B3059" s="2" t="n">
        <v>43210.2583912037</v>
      </c>
      <c r="C3059" t="n">
        <v>0</v>
      </c>
      <c r="D3059" t="n">
        <v>1312</v>
      </c>
      <c r="E3059" t="s">
        <v>3059</v>
      </c>
      <c r="F3059">
        <f>HYPERLINK("https://video.twimg.com/amplify_video/987067713918066694/vid/1280x720/L3IzuuHrQ-5Cqweb.mp4?tag=2", "https://video.twimg.com/amplify_video/987067713918066694/vid/1280x720/L3IzuuHrQ-5Cqweb.mp4?tag=2")</f>
        <v/>
      </c>
      <c r="G3059" t="s"/>
      <c r="H3059" t="s"/>
      <c r="I3059" t="s"/>
      <c r="J3059" t="n">
        <v>0</v>
      </c>
      <c r="K3059" t="n">
        <v>0</v>
      </c>
      <c r="L3059" t="n">
        <v>1</v>
      </c>
      <c r="M3059" t="n">
        <v>0</v>
      </c>
    </row>
    <row r="3060" spans="1:13">
      <c r="A3060" s="1">
        <f>HYPERLINK("http://www.twitter.com/NathanBLawrence/status/987212238422401025", "987212238422401025")</f>
        <v/>
      </c>
      <c r="B3060" s="2" t="n">
        <v>43210.25825231482</v>
      </c>
      <c r="C3060" t="n">
        <v>0</v>
      </c>
      <c r="D3060" t="n">
        <v>3340</v>
      </c>
      <c r="E3060" t="s">
        <v>3060</v>
      </c>
      <c r="F3060" t="s"/>
      <c r="G3060" t="s"/>
      <c r="H3060" t="s"/>
      <c r="I3060" t="s"/>
      <c r="J3060" t="n">
        <v>0.4019</v>
      </c>
      <c r="K3060" t="n">
        <v>0</v>
      </c>
      <c r="L3060" t="n">
        <v>0.6840000000000001</v>
      </c>
      <c r="M3060" t="n">
        <v>0.316</v>
      </c>
    </row>
    <row r="3061" spans="1:13">
      <c r="A3061" s="1">
        <f>HYPERLINK("http://www.twitter.com/NathanBLawrence/status/987212198127652864", "987212198127652864")</f>
        <v/>
      </c>
      <c r="B3061" s="2" t="n">
        <v>43210.25814814815</v>
      </c>
      <c r="C3061" t="n">
        <v>0</v>
      </c>
      <c r="D3061" t="n">
        <v>574</v>
      </c>
      <c r="E3061" t="s">
        <v>3061</v>
      </c>
      <c r="F3061" t="s"/>
      <c r="G3061" t="s"/>
      <c r="H3061" t="s"/>
      <c r="I3061" t="s"/>
      <c r="J3061" t="n">
        <v>0.128</v>
      </c>
      <c r="K3061" t="n">
        <v>0</v>
      </c>
      <c r="L3061" t="n">
        <v>0.93</v>
      </c>
      <c r="M3061" t="n">
        <v>0.07000000000000001</v>
      </c>
    </row>
    <row r="3062" spans="1:13">
      <c r="A3062" s="1">
        <f>HYPERLINK("http://www.twitter.com/NathanBLawrence/status/987211998906630144", "987211998906630144")</f>
        <v/>
      </c>
      <c r="B3062" s="2" t="n">
        <v>43210.25759259259</v>
      </c>
      <c r="C3062" t="n">
        <v>0</v>
      </c>
      <c r="D3062" t="n">
        <v>245</v>
      </c>
      <c r="E3062" t="s">
        <v>3062</v>
      </c>
      <c r="F3062" t="s"/>
      <c r="G3062" t="s"/>
      <c r="H3062" t="s"/>
      <c r="I3062" t="s"/>
      <c r="J3062" t="n">
        <v>0.6996</v>
      </c>
      <c r="K3062" t="n">
        <v>0</v>
      </c>
      <c r="L3062" t="n">
        <v>0.775</v>
      </c>
      <c r="M3062" t="n">
        <v>0.225</v>
      </c>
    </row>
    <row r="3063" spans="1:13">
      <c r="A3063" s="1">
        <f>HYPERLINK("http://www.twitter.com/NathanBLawrence/status/987211787761213441", "987211787761213441")</f>
        <v/>
      </c>
      <c r="B3063" s="2" t="n">
        <v>43210.25701388889</v>
      </c>
      <c r="C3063" t="n">
        <v>0</v>
      </c>
      <c r="D3063" t="n">
        <v>3</v>
      </c>
      <c r="E3063" t="s">
        <v>3063</v>
      </c>
      <c r="F3063" t="s"/>
      <c r="G3063" t="s"/>
      <c r="H3063" t="s"/>
      <c r="I3063" t="s"/>
      <c r="J3063" t="n">
        <v>0.6249</v>
      </c>
      <c r="K3063" t="n">
        <v>0</v>
      </c>
      <c r="L3063" t="n">
        <v>0.76</v>
      </c>
      <c r="M3063" t="n">
        <v>0.24</v>
      </c>
    </row>
    <row r="3064" spans="1:13">
      <c r="A3064" s="1">
        <f>HYPERLINK("http://www.twitter.com/NathanBLawrence/status/987211722673934336", "987211722673934336")</f>
        <v/>
      </c>
      <c r="B3064" s="2" t="n">
        <v>43210.25682870371</v>
      </c>
      <c r="C3064" t="n">
        <v>0</v>
      </c>
      <c r="D3064" t="n">
        <v>4419</v>
      </c>
      <c r="E3064" t="s">
        <v>3064</v>
      </c>
      <c r="F3064">
        <f>HYPERLINK("https://video.twimg.com/ext_tw_video/987049981491187712/pu/vid/1280x720/KuMby5Hiaak6bQ_r.mp4?tag=3", "https://video.twimg.com/ext_tw_video/987049981491187712/pu/vid/1280x720/KuMby5Hiaak6bQ_r.mp4?tag=3")</f>
        <v/>
      </c>
      <c r="G3064" t="s"/>
      <c r="H3064" t="s"/>
      <c r="I3064" t="s"/>
      <c r="J3064" t="n">
        <v>-0.4939</v>
      </c>
      <c r="K3064" t="n">
        <v>0.276</v>
      </c>
      <c r="L3064" t="n">
        <v>0.724</v>
      </c>
      <c r="M3064" t="n">
        <v>0</v>
      </c>
    </row>
    <row r="3065" spans="1:13">
      <c r="A3065" s="1">
        <f>HYPERLINK("http://www.twitter.com/NathanBLawrence/status/987211645653942272", "987211645653942272")</f>
        <v/>
      </c>
      <c r="B3065" s="2" t="n">
        <v>43210.25662037037</v>
      </c>
      <c r="C3065" t="n">
        <v>0</v>
      </c>
      <c r="D3065" t="n">
        <v>364</v>
      </c>
      <c r="E3065" t="s">
        <v>3065</v>
      </c>
      <c r="F3065" t="s"/>
      <c r="G3065" t="s"/>
      <c r="H3065" t="s"/>
      <c r="I3065" t="s"/>
      <c r="J3065" t="n">
        <v>-0.3818</v>
      </c>
      <c r="K3065" t="n">
        <v>0.211</v>
      </c>
      <c r="L3065" t="n">
        <v>0.677</v>
      </c>
      <c r="M3065" t="n">
        <v>0.113</v>
      </c>
    </row>
    <row r="3066" spans="1:13">
      <c r="A3066" s="1">
        <f>HYPERLINK("http://www.twitter.com/NathanBLawrence/status/987211428141531137", "987211428141531137")</f>
        <v/>
      </c>
      <c r="B3066" s="2" t="n">
        <v>43210.25601851852</v>
      </c>
      <c r="C3066" t="n">
        <v>0</v>
      </c>
      <c r="D3066" t="n">
        <v>55</v>
      </c>
      <c r="E3066" t="s">
        <v>3066</v>
      </c>
      <c r="F3066">
        <f>HYPERLINK("http://pbs.twimg.com/media/DbMsFjhXkAA9gBU.jpg", "http://pbs.twimg.com/media/DbMsFjhXkAA9gBU.jpg")</f>
        <v/>
      </c>
      <c r="G3066">
        <f>HYPERLINK("http://pbs.twimg.com/media/DbMsFjkXcAA2bvf.jpg", "http://pbs.twimg.com/media/DbMsFjkXcAA2bvf.jpg")</f>
        <v/>
      </c>
      <c r="H3066" t="s"/>
      <c r="I3066" t="s"/>
      <c r="J3066" t="n">
        <v>0</v>
      </c>
      <c r="K3066" t="n">
        <v>0</v>
      </c>
      <c r="L3066" t="n">
        <v>1</v>
      </c>
      <c r="M3066" t="n">
        <v>0</v>
      </c>
    </row>
    <row r="3067" spans="1:13">
      <c r="A3067" s="1">
        <f>HYPERLINK("http://www.twitter.com/NathanBLawrence/status/987210880440909824", "987210880440909824")</f>
        <v/>
      </c>
      <c r="B3067" s="2" t="n">
        <v>43210.25451388889</v>
      </c>
      <c r="C3067" t="n">
        <v>0</v>
      </c>
      <c r="D3067" t="n">
        <v>1755</v>
      </c>
      <c r="E3067" t="s">
        <v>3067</v>
      </c>
      <c r="F3067" t="s"/>
      <c r="G3067" t="s"/>
      <c r="H3067" t="s"/>
      <c r="I3067" t="s"/>
      <c r="J3067" t="n">
        <v>0.128</v>
      </c>
      <c r="K3067" t="n">
        <v>0</v>
      </c>
      <c r="L3067" t="n">
        <v>0.93</v>
      </c>
      <c r="M3067" t="n">
        <v>0.07000000000000001</v>
      </c>
    </row>
    <row r="3068" spans="1:13">
      <c r="A3068" s="1">
        <f>HYPERLINK("http://www.twitter.com/NathanBLawrence/status/987210413187067904", "987210413187067904")</f>
        <v/>
      </c>
      <c r="B3068" s="2" t="n">
        <v>43210.2532175926</v>
      </c>
      <c r="C3068" t="n">
        <v>0</v>
      </c>
      <c r="D3068" t="n">
        <v>0</v>
      </c>
      <c r="E3068" t="s">
        <v>3068</v>
      </c>
      <c r="F3068" t="s"/>
      <c r="G3068" t="s"/>
      <c r="H3068" t="s"/>
      <c r="I3068" t="s"/>
      <c r="J3068" t="n">
        <v>0</v>
      </c>
      <c r="K3068" t="n">
        <v>0</v>
      </c>
      <c r="L3068" t="n">
        <v>1</v>
      </c>
      <c r="M3068" t="n">
        <v>0</v>
      </c>
    </row>
    <row r="3069" spans="1:13">
      <c r="A3069" s="1">
        <f>HYPERLINK("http://www.twitter.com/NathanBLawrence/status/987209494617714688", "987209494617714688")</f>
        <v/>
      </c>
      <c r="B3069" s="2" t="n">
        <v>43210.25068287037</v>
      </c>
      <c r="C3069" t="n">
        <v>0</v>
      </c>
      <c r="D3069" t="n">
        <v>2191</v>
      </c>
      <c r="E3069" t="s">
        <v>3069</v>
      </c>
      <c r="F3069" t="s"/>
      <c r="G3069" t="s"/>
      <c r="H3069" t="s"/>
      <c r="I3069" t="s"/>
      <c r="J3069" t="n">
        <v>-0.1027</v>
      </c>
      <c r="K3069" t="n">
        <v>0.074</v>
      </c>
      <c r="L3069" t="n">
        <v>0.868</v>
      </c>
      <c r="M3069" t="n">
        <v>0.058</v>
      </c>
    </row>
    <row r="3070" spans="1:13">
      <c r="A3070" s="1">
        <f>HYPERLINK("http://www.twitter.com/NathanBLawrence/status/987206880526151680", "987206880526151680")</f>
        <v/>
      </c>
      <c r="B3070" s="2" t="n">
        <v>43210.24347222222</v>
      </c>
      <c r="C3070" t="n">
        <v>0</v>
      </c>
      <c r="D3070" t="n">
        <v>25416</v>
      </c>
      <c r="E3070" t="s">
        <v>3070</v>
      </c>
      <c r="F3070" t="s"/>
      <c r="G3070" t="s"/>
      <c r="H3070" t="s"/>
      <c r="I3070" t="s"/>
      <c r="J3070" t="n">
        <v>-0.6669</v>
      </c>
      <c r="K3070" t="n">
        <v>0.283</v>
      </c>
      <c r="L3070" t="n">
        <v>0.624</v>
      </c>
      <c r="M3070" t="n">
        <v>0.094</v>
      </c>
    </row>
    <row r="3071" spans="1:13">
      <c r="A3071" s="1">
        <f>HYPERLINK("http://www.twitter.com/NathanBLawrence/status/987206811257225221", "987206811257225221")</f>
        <v/>
      </c>
      <c r="B3071" s="2" t="n">
        <v>43210.24327546296</v>
      </c>
      <c r="C3071" t="n">
        <v>0</v>
      </c>
      <c r="D3071" t="n">
        <v>21656</v>
      </c>
      <c r="E3071" t="s">
        <v>3071</v>
      </c>
      <c r="F3071" t="s"/>
      <c r="G3071" t="s"/>
      <c r="H3071" t="s"/>
      <c r="I3071" t="s"/>
      <c r="J3071" t="n">
        <v>-0.6249</v>
      </c>
      <c r="K3071" t="n">
        <v>0.163</v>
      </c>
      <c r="L3071" t="n">
        <v>0.837</v>
      </c>
      <c r="M3071" t="n">
        <v>0</v>
      </c>
    </row>
    <row r="3072" spans="1:13">
      <c r="A3072" s="1">
        <f>HYPERLINK("http://www.twitter.com/NathanBLawrence/status/987206747474415616", "987206747474415616")</f>
        <v/>
      </c>
      <c r="B3072" s="2" t="n">
        <v>43210.24310185185</v>
      </c>
      <c r="C3072" t="n">
        <v>0</v>
      </c>
      <c r="D3072" t="n">
        <v>20288</v>
      </c>
      <c r="E3072" t="s">
        <v>3072</v>
      </c>
      <c r="F3072" t="s"/>
      <c r="G3072" t="s"/>
      <c r="H3072" t="s"/>
      <c r="I3072" t="s"/>
      <c r="J3072" t="n">
        <v>0.7845</v>
      </c>
      <c r="K3072" t="n">
        <v>0</v>
      </c>
      <c r="L3072" t="n">
        <v>0.717</v>
      </c>
      <c r="M3072" t="n">
        <v>0.283</v>
      </c>
    </row>
    <row r="3073" spans="1:13">
      <c r="A3073" s="1">
        <f>HYPERLINK("http://www.twitter.com/NathanBLawrence/status/987206648904085504", "987206648904085504")</f>
        <v/>
      </c>
      <c r="B3073" s="2" t="n">
        <v>43210.24283564815</v>
      </c>
      <c r="C3073" t="n">
        <v>0</v>
      </c>
      <c r="D3073" t="n">
        <v>14391</v>
      </c>
      <c r="E3073" t="s">
        <v>3073</v>
      </c>
      <c r="F3073" t="s"/>
      <c r="G3073" t="s"/>
      <c r="H3073" t="s"/>
      <c r="I3073" t="s"/>
      <c r="J3073" t="n">
        <v>0.4767</v>
      </c>
      <c r="K3073" t="n">
        <v>0</v>
      </c>
      <c r="L3073" t="n">
        <v>0.86</v>
      </c>
      <c r="M3073" t="n">
        <v>0.14</v>
      </c>
    </row>
    <row r="3074" spans="1:13">
      <c r="A3074" s="1">
        <f>HYPERLINK("http://www.twitter.com/NathanBLawrence/status/987206608538157056", "987206608538157056")</f>
        <v/>
      </c>
      <c r="B3074" s="2" t="n">
        <v>43210.24271990741</v>
      </c>
      <c r="C3074" t="n">
        <v>0</v>
      </c>
      <c r="D3074" t="n">
        <v>22459</v>
      </c>
      <c r="E3074" t="s">
        <v>3074</v>
      </c>
      <c r="F3074" t="s"/>
      <c r="G3074" t="s"/>
      <c r="H3074" t="s"/>
      <c r="I3074" t="s"/>
      <c r="J3074" t="n">
        <v>0.8591</v>
      </c>
      <c r="K3074" t="n">
        <v>0</v>
      </c>
      <c r="L3074" t="n">
        <v>0.667</v>
      </c>
      <c r="M3074" t="n">
        <v>0.333</v>
      </c>
    </row>
    <row r="3075" spans="1:13">
      <c r="A3075" s="1">
        <f>HYPERLINK("http://www.twitter.com/NathanBLawrence/status/987189397568143360", "987189397568143360")</f>
        <v/>
      </c>
      <c r="B3075" s="2" t="n">
        <v>43210.19523148148</v>
      </c>
      <c r="C3075" t="n">
        <v>3</v>
      </c>
      <c r="D3075" t="n">
        <v>1</v>
      </c>
      <c r="E3075" t="s">
        <v>3075</v>
      </c>
      <c r="F3075" t="s"/>
      <c r="G3075" t="s"/>
      <c r="H3075" t="s"/>
      <c r="I3075" t="s"/>
      <c r="J3075" t="n">
        <v>0</v>
      </c>
      <c r="K3075" t="n">
        <v>0</v>
      </c>
      <c r="L3075" t="n">
        <v>1</v>
      </c>
      <c r="M3075" t="n">
        <v>0</v>
      </c>
    </row>
    <row r="3076" spans="1:13">
      <c r="A3076" s="1">
        <f>HYPERLINK("http://www.twitter.com/NathanBLawrence/status/987186993997033472", "987186993997033472")</f>
        <v/>
      </c>
      <c r="B3076" s="2" t="n">
        <v>43210.18859953704</v>
      </c>
      <c r="C3076" t="n">
        <v>0</v>
      </c>
      <c r="D3076" t="n">
        <v>18949</v>
      </c>
      <c r="E3076" t="s">
        <v>3076</v>
      </c>
      <c r="F3076" t="s"/>
      <c r="G3076" t="s"/>
      <c r="H3076" t="s"/>
      <c r="I3076" t="s"/>
      <c r="J3076" t="n">
        <v>0.0382</v>
      </c>
      <c r="K3076" t="n">
        <v>0</v>
      </c>
      <c r="L3076" t="n">
        <v>0.9429999999999999</v>
      </c>
      <c r="M3076" t="n">
        <v>0.057</v>
      </c>
    </row>
    <row r="3077" spans="1:13">
      <c r="A3077" s="1">
        <f>HYPERLINK("http://www.twitter.com/NathanBLawrence/status/987186874929131525", "987186874929131525")</f>
        <v/>
      </c>
      <c r="B3077" s="2" t="n">
        <v>43210.18826388889</v>
      </c>
      <c r="C3077" t="n">
        <v>0</v>
      </c>
      <c r="D3077" t="n">
        <v>26504</v>
      </c>
      <c r="E3077" t="s">
        <v>3077</v>
      </c>
      <c r="F3077" t="s"/>
      <c r="G3077" t="s"/>
      <c r="H3077" t="s"/>
      <c r="I3077" t="s"/>
      <c r="J3077" t="n">
        <v>0.4404</v>
      </c>
      <c r="K3077" t="n">
        <v>0</v>
      </c>
      <c r="L3077" t="n">
        <v>0.879</v>
      </c>
      <c r="M3077" t="n">
        <v>0.121</v>
      </c>
    </row>
    <row r="3078" spans="1:13">
      <c r="A3078" s="1">
        <f>HYPERLINK("http://www.twitter.com/NathanBLawrence/status/987186732478095362", "987186732478095362")</f>
        <v/>
      </c>
      <c r="B3078" s="2" t="n">
        <v>43210.18787037037</v>
      </c>
      <c r="C3078" t="n">
        <v>0</v>
      </c>
      <c r="D3078" t="n">
        <v>15019</v>
      </c>
      <c r="E3078" t="s">
        <v>3078</v>
      </c>
      <c r="F3078" t="s"/>
      <c r="G3078" t="s"/>
      <c r="H3078" t="s"/>
      <c r="I3078" t="s"/>
      <c r="J3078" t="n">
        <v>0.8316</v>
      </c>
      <c r="K3078" t="n">
        <v>0</v>
      </c>
      <c r="L3078" t="n">
        <v>0.709</v>
      </c>
      <c r="M3078" t="n">
        <v>0.291</v>
      </c>
    </row>
    <row r="3079" spans="1:13">
      <c r="A3079" s="1">
        <f>HYPERLINK("http://www.twitter.com/NathanBLawrence/status/987186639511285760", "987186639511285760")</f>
        <v/>
      </c>
      <c r="B3079" s="2" t="n">
        <v>43210.18761574074</v>
      </c>
      <c r="C3079" t="n">
        <v>0</v>
      </c>
      <c r="D3079" t="n">
        <v>6639</v>
      </c>
      <c r="E3079" t="s">
        <v>3079</v>
      </c>
      <c r="F3079" t="s"/>
      <c r="G3079" t="s"/>
      <c r="H3079" t="s"/>
      <c r="I3079" t="s"/>
      <c r="J3079" t="n">
        <v>0.854</v>
      </c>
      <c r="K3079" t="n">
        <v>0</v>
      </c>
      <c r="L3079" t="n">
        <v>0.609</v>
      </c>
      <c r="M3079" t="n">
        <v>0.391</v>
      </c>
    </row>
    <row r="3080" spans="1:13">
      <c r="A3080" s="1">
        <f>HYPERLINK("http://www.twitter.com/NathanBLawrence/status/987186301358129152", "987186301358129152")</f>
        <v/>
      </c>
      <c r="B3080" s="2" t="n">
        <v>43210.18667824074</v>
      </c>
      <c r="C3080" t="n">
        <v>7</v>
      </c>
      <c r="D3080" t="n">
        <v>3</v>
      </c>
      <c r="E3080" t="s">
        <v>3080</v>
      </c>
      <c r="F3080" t="s"/>
      <c r="G3080" t="s"/>
      <c r="H3080" t="s"/>
      <c r="I3080" t="s"/>
      <c r="J3080" t="n">
        <v>0.5095</v>
      </c>
      <c r="K3080" t="n">
        <v>0.05</v>
      </c>
      <c r="L3080" t="n">
        <v>0.835</v>
      </c>
      <c r="M3080" t="n">
        <v>0.115</v>
      </c>
    </row>
    <row r="3081" spans="1:13">
      <c r="A3081" s="1">
        <f>HYPERLINK("http://www.twitter.com/NathanBLawrence/status/987110230407331840", "987110230407331840")</f>
        <v/>
      </c>
      <c r="B3081" s="2" t="n">
        <v>43209.97677083333</v>
      </c>
      <c r="C3081" t="n">
        <v>4</v>
      </c>
      <c r="D3081" t="n">
        <v>2</v>
      </c>
      <c r="E3081" t="s">
        <v>3081</v>
      </c>
      <c r="F3081" t="s"/>
      <c r="G3081" t="s"/>
      <c r="H3081" t="s"/>
      <c r="I3081" t="s"/>
      <c r="J3081" t="n">
        <v>-0.7213000000000001</v>
      </c>
      <c r="K3081" t="n">
        <v>0.172</v>
      </c>
      <c r="L3081" t="n">
        <v>0.828</v>
      </c>
      <c r="M3081" t="n">
        <v>0</v>
      </c>
    </row>
    <row r="3082" spans="1:13">
      <c r="A3082" s="1">
        <f>HYPERLINK("http://www.twitter.com/NathanBLawrence/status/987109537260814336", "987109537260814336")</f>
        <v/>
      </c>
      <c r="B3082" s="2" t="n">
        <v>43209.97484953704</v>
      </c>
      <c r="C3082" t="n">
        <v>5</v>
      </c>
      <c r="D3082" t="n">
        <v>2</v>
      </c>
      <c r="E3082" t="s">
        <v>3082</v>
      </c>
      <c r="F3082" t="s"/>
      <c r="G3082" t="s"/>
      <c r="H3082" t="s"/>
      <c r="I3082" t="s"/>
      <c r="J3082" t="n">
        <v>-0.6705</v>
      </c>
      <c r="K3082" t="n">
        <v>0.143</v>
      </c>
      <c r="L3082" t="n">
        <v>0.857</v>
      </c>
      <c r="M3082" t="n">
        <v>0</v>
      </c>
    </row>
    <row r="3083" spans="1:13">
      <c r="A3083" s="1">
        <f>HYPERLINK("http://www.twitter.com/NathanBLawrence/status/987030794366402560", "987030794366402560")</f>
        <v/>
      </c>
      <c r="B3083" s="2" t="n">
        <v>43209.75756944445</v>
      </c>
      <c r="C3083" t="n">
        <v>0</v>
      </c>
      <c r="D3083" t="n">
        <v>14104</v>
      </c>
      <c r="E3083" t="s">
        <v>3083</v>
      </c>
      <c r="F3083" t="s"/>
      <c r="G3083" t="s"/>
      <c r="H3083" t="s"/>
      <c r="I3083" t="s"/>
      <c r="J3083" t="n">
        <v>0.6249</v>
      </c>
      <c r="K3083" t="n">
        <v>0</v>
      </c>
      <c r="L3083" t="n">
        <v>0.837</v>
      </c>
      <c r="M3083" t="n">
        <v>0.163</v>
      </c>
    </row>
    <row r="3084" spans="1:13">
      <c r="A3084" s="1">
        <f>HYPERLINK("http://www.twitter.com/NathanBLawrence/status/987030740423471104", "987030740423471104")</f>
        <v/>
      </c>
      <c r="B3084" s="2" t="n">
        <v>43209.75741898148</v>
      </c>
      <c r="C3084" t="n">
        <v>0</v>
      </c>
      <c r="D3084" t="n">
        <v>20186</v>
      </c>
      <c r="E3084" t="s">
        <v>3084</v>
      </c>
      <c r="F3084" t="s"/>
      <c r="G3084" t="s"/>
      <c r="H3084" t="s"/>
      <c r="I3084" t="s"/>
      <c r="J3084" t="n">
        <v>0.431</v>
      </c>
      <c r="K3084" t="n">
        <v>0</v>
      </c>
      <c r="L3084" t="n">
        <v>0.885</v>
      </c>
      <c r="M3084" t="n">
        <v>0.115</v>
      </c>
    </row>
    <row r="3085" spans="1:13">
      <c r="A3085" s="1">
        <f>HYPERLINK("http://www.twitter.com/NathanBLawrence/status/987030658441625600", "987030658441625600")</f>
        <v/>
      </c>
      <c r="B3085" s="2" t="n">
        <v>43209.7571875</v>
      </c>
      <c r="C3085" t="n">
        <v>0</v>
      </c>
      <c r="D3085" t="n">
        <v>9149</v>
      </c>
      <c r="E3085" t="s">
        <v>3085</v>
      </c>
      <c r="F3085">
        <f>HYPERLINK("https://video.twimg.com/ext_tw_video/987001729022504961/pu/vid/1280x720/WyPa8SzM4Z-1btSj.mp4?tag=3", "https://video.twimg.com/ext_tw_video/987001729022504961/pu/vid/1280x720/WyPa8SzM4Z-1btSj.mp4?tag=3")</f>
        <v/>
      </c>
      <c r="G3085" t="s"/>
      <c r="H3085" t="s"/>
      <c r="I3085" t="s"/>
      <c r="J3085" t="n">
        <v>0</v>
      </c>
      <c r="K3085" t="n">
        <v>0</v>
      </c>
      <c r="L3085" t="n">
        <v>1</v>
      </c>
      <c r="M3085" t="n">
        <v>0</v>
      </c>
    </row>
    <row r="3086" spans="1:13">
      <c r="A3086" s="1">
        <f>HYPERLINK("http://www.twitter.com/NathanBLawrence/status/987026341856858117", "987026341856858117")</f>
        <v/>
      </c>
      <c r="B3086" s="2" t="n">
        <v>43209.74527777778</v>
      </c>
      <c r="C3086" t="n">
        <v>0</v>
      </c>
      <c r="D3086" t="n">
        <v>9259</v>
      </c>
      <c r="E3086" t="s">
        <v>3086</v>
      </c>
      <c r="F3086" t="s"/>
      <c r="G3086" t="s"/>
      <c r="H3086" t="s"/>
      <c r="I3086" t="s"/>
      <c r="J3086" t="n">
        <v>-0.7269</v>
      </c>
      <c r="K3086" t="n">
        <v>0.341</v>
      </c>
      <c r="L3086" t="n">
        <v>0.553</v>
      </c>
      <c r="M3086" t="n">
        <v>0.106</v>
      </c>
    </row>
    <row r="3087" spans="1:13">
      <c r="A3087" s="1">
        <f>HYPERLINK("http://www.twitter.com/NathanBLawrence/status/986991742258786305", "986991742258786305")</f>
        <v/>
      </c>
      <c r="B3087" s="2" t="n">
        <v>43209.64980324074</v>
      </c>
      <c r="C3087" t="n">
        <v>0</v>
      </c>
      <c r="D3087" t="n">
        <v>241</v>
      </c>
      <c r="E3087" t="s">
        <v>3087</v>
      </c>
      <c r="F3087" t="s"/>
      <c r="G3087" t="s"/>
      <c r="H3087" t="s"/>
      <c r="I3087" t="s"/>
      <c r="J3087" t="n">
        <v>0.25</v>
      </c>
      <c r="K3087" t="n">
        <v>0.121</v>
      </c>
      <c r="L3087" t="n">
        <v>0.6899999999999999</v>
      </c>
      <c r="M3087" t="n">
        <v>0.19</v>
      </c>
    </row>
    <row r="3088" spans="1:13">
      <c r="A3088" s="1">
        <f>HYPERLINK("http://www.twitter.com/NathanBLawrence/status/986991664353832961", "986991664353832961")</f>
        <v/>
      </c>
      <c r="B3088" s="2" t="n">
        <v>43209.64958333333</v>
      </c>
      <c r="C3088" t="n">
        <v>0</v>
      </c>
      <c r="D3088" t="n">
        <v>831</v>
      </c>
      <c r="E3088" t="s">
        <v>3088</v>
      </c>
      <c r="F3088" t="s"/>
      <c r="G3088" t="s"/>
      <c r="H3088" t="s"/>
      <c r="I3088" t="s"/>
      <c r="J3088" t="n">
        <v>0.7033</v>
      </c>
      <c r="K3088" t="n">
        <v>0</v>
      </c>
      <c r="L3088" t="n">
        <v>0.774</v>
      </c>
      <c r="M3088" t="n">
        <v>0.226</v>
      </c>
    </row>
    <row r="3089" spans="1:13">
      <c r="A3089" s="1">
        <f>HYPERLINK("http://www.twitter.com/NathanBLawrence/status/986991611354595328", "986991611354595328")</f>
        <v/>
      </c>
      <c r="B3089" s="2" t="n">
        <v>43209.64944444445</v>
      </c>
      <c r="C3089" t="n">
        <v>0</v>
      </c>
      <c r="D3089" t="n">
        <v>654</v>
      </c>
      <c r="E3089" t="s">
        <v>3089</v>
      </c>
      <c r="F3089">
        <f>HYPERLINK("http://pbs.twimg.com/media/DbJuuXgUwAAXJj2.jpg", "http://pbs.twimg.com/media/DbJuuXgUwAAXJj2.jpg")</f>
        <v/>
      </c>
      <c r="G3089" t="s"/>
      <c r="H3089" t="s"/>
      <c r="I3089" t="s"/>
      <c r="J3089" t="n">
        <v>-0.0258</v>
      </c>
      <c r="K3089" t="n">
        <v>0.065</v>
      </c>
      <c r="L3089" t="n">
        <v>0.876</v>
      </c>
      <c r="M3089" t="n">
        <v>0.06</v>
      </c>
    </row>
    <row r="3090" spans="1:13">
      <c r="A3090" s="1">
        <f>HYPERLINK("http://www.twitter.com/NathanBLawrence/status/986991486427254784", "986991486427254784")</f>
        <v/>
      </c>
      <c r="B3090" s="2" t="n">
        <v>43209.64909722222</v>
      </c>
      <c r="C3090" t="n">
        <v>0</v>
      </c>
      <c r="D3090" t="n">
        <v>19965</v>
      </c>
      <c r="E3090" t="s">
        <v>3090</v>
      </c>
      <c r="F3090" t="s"/>
      <c r="G3090" t="s"/>
      <c r="H3090" t="s"/>
      <c r="I3090" t="s"/>
      <c r="J3090" t="n">
        <v>-0.0258</v>
      </c>
      <c r="K3090" t="n">
        <v>0.19</v>
      </c>
      <c r="L3090" t="n">
        <v>0.623</v>
      </c>
      <c r="M3090" t="n">
        <v>0.187</v>
      </c>
    </row>
    <row r="3091" spans="1:13">
      <c r="A3091" s="1">
        <f>HYPERLINK("http://www.twitter.com/NathanBLawrence/status/986991318906716160", "986991318906716160")</f>
        <v/>
      </c>
      <c r="B3091" s="2" t="n">
        <v>43209.64863425926</v>
      </c>
      <c r="C3091" t="n">
        <v>0</v>
      </c>
      <c r="D3091" t="n">
        <v>4256</v>
      </c>
      <c r="E3091" t="s">
        <v>3091</v>
      </c>
      <c r="F3091" t="s"/>
      <c r="G3091" t="s"/>
      <c r="H3091" t="s"/>
      <c r="I3091" t="s"/>
      <c r="J3091" t="n">
        <v>0</v>
      </c>
      <c r="K3091" t="n">
        <v>0</v>
      </c>
      <c r="L3091" t="n">
        <v>1</v>
      </c>
      <c r="M3091" t="n">
        <v>0</v>
      </c>
    </row>
    <row r="3092" spans="1:13">
      <c r="A3092" s="1">
        <f>HYPERLINK("http://www.twitter.com/NathanBLawrence/status/986857676645851136", "986857676645851136")</f>
        <v/>
      </c>
      <c r="B3092" s="2" t="n">
        <v>43209.27984953704</v>
      </c>
      <c r="C3092" t="n">
        <v>0</v>
      </c>
      <c r="D3092" t="n">
        <v>241</v>
      </c>
      <c r="E3092" t="s">
        <v>3092</v>
      </c>
      <c r="F3092" t="s"/>
      <c r="G3092" t="s"/>
      <c r="H3092" t="s"/>
      <c r="I3092" t="s"/>
      <c r="J3092" t="n">
        <v>0</v>
      </c>
      <c r="K3092" t="n">
        <v>0</v>
      </c>
      <c r="L3092" t="n">
        <v>1</v>
      </c>
      <c r="M3092" t="n">
        <v>0</v>
      </c>
    </row>
    <row r="3093" spans="1:13">
      <c r="A3093" s="1">
        <f>HYPERLINK("http://www.twitter.com/NathanBLawrence/status/986856904449298433", "986856904449298433")</f>
        <v/>
      </c>
      <c r="B3093" s="2" t="n">
        <v>43209.2777199074</v>
      </c>
      <c r="C3093" t="n">
        <v>0</v>
      </c>
      <c r="D3093" t="n">
        <v>1432</v>
      </c>
      <c r="E3093" t="s">
        <v>3093</v>
      </c>
      <c r="F3093" t="s"/>
      <c r="G3093" t="s"/>
      <c r="H3093" t="s"/>
      <c r="I3093" t="s"/>
      <c r="J3093" t="n">
        <v>0.4019</v>
      </c>
      <c r="K3093" t="n">
        <v>0</v>
      </c>
      <c r="L3093" t="n">
        <v>0.838</v>
      </c>
      <c r="M3093" t="n">
        <v>0.162</v>
      </c>
    </row>
    <row r="3094" spans="1:13">
      <c r="A3094" s="1">
        <f>HYPERLINK("http://www.twitter.com/NathanBLawrence/status/986855146952052736", "986855146952052736")</f>
        <v/>
      </c>
      <c r="B3094" s="2" t="n">
        <v>43209.27287037037</v>
      </c>
      <c r="C3094" t="n">
        <v>0</v>
      </c>
      <c r="D3094" t="n">
        <v>1479</v>
      </c>
      <c r="E3094" t="s">
        <v>3094</v>
      </c>
      <c r="F3094" t="s"/>
      <c r="G3094" t="s"/>
      <c r="H3094" t="s"/>
      <c r="I3094" t="s"/>
      <c r="J3094" t="n">
        <v>0.6249</v>
      </c>
      <c r="K3094" t="n">
        <v>0</v>
      </c>
      <c r="L3094" t="n">
        <v>0.837</v>
      </c>
      <c r="M3094" t="n">
        <v>0.163</v>
      </c>
    </row>
    <row r="3095" spans="1:13">
      <c r="A3095" s="1">
        <f>HYPERLINK("http://www.twitter.com/NathanBLawrence/status/986855127632969728", "986855127632969728")</f>
        <v/>
      </c>
      <c r="B3095" s="2" t="n">
        <v>43209.2728125</v>
      </c>
      <c r="C3095" t="n">
        <v>0</v>
      </c>
      <c r="D3095" t="n">
        <v>1503</v>
      </c>
      <c r="E3095" t="s">
        <v>3095</v>
      </c>
      <c r="F3095" t="s"/>
      <c r="G3095" t="s"/>
      <c r="H3095" t="s"/>
      <c r="I3095" t="s"/>
      <c r="J3095" t="n">
        <v>-0.4019</v>
      </c>
      <c r="K3095" t="n">
        <v>0.119</v>
      </c>
      <c r="L3095" t="n">
        <v>0.881</v>
      </c>
      <c r="M3095" t="n">
        <v>0</v>
      </c>
    </row>
    <row r="3096" spans="1:13">
      <c r="A3096" s="1">
        <f>HYPERLINK("http://www.twitter.com/NathanBLawrence/status/986855040802611200", "986855040802611200")</f>
        <v/>
      </c>
      <c r="B3096" s="2" t="n">
        <v>43209.27258101852</v>
      </c>
      <c r="C3096" t="n">
        <v>0</v>
      </c>
      <c r="D3096" t="n">
        <v>2572</v>
      </c>
      <c r="E3096" t="s">
        <v>3096</v>
      </c>
      <c r="F3096" t="s"/>
      <c r="G3096" t="s"/>
      <c r="H3096" t="s"/>
      <c r="I3096" t="s"/>
      <c r="J3096" t="n">
        <v>-0.3182</v>
      </c>
      <c r="K3096" t="n">
        <v>0.15</v>
      </c>
      <c r="L3096" t="n">
        <v>0.85</v>
      </c>
      <c r="M3096" t="n">
        <v>0</v>
      </c>
    </row>
    <row r="3097" spans="1:13">
      <c r="A3097" s="1">
        <f>HYPERLINK("http://www.twitter.com/NathanBLawrence/status/986854959156224000", "986854959156224000")</f>
        <v/>
      </c>
      <c r="B3097" s="2" t="n">
        <v>43209.27234953704</v>
      </c>
      <c r="C3097" t="n">
        <v>0</v>
      </c>
      <c r="D3097" t="n">
        <v>2924</v>
      </c>
      <c r="E3097" t="s">
        <v>3097</v>
      </c>
      <c r="F3097">
        <f>HYPERLINK("http://pbs.twimg.com/media/DbHWkh-U0AANzTf.jpg", "http://pbs.twimg.com/media/DbHWkh-U0AANzTf.jpg")</f>
        <v/>
      </c>
      <c r="G3097" t="s"/>
      <c r="H3097" t="s"/>
      <c r="I3097" t="s"/>
      <c r="J3097" t="n">
        <v>0.1027</v>
      </c>
      <c r="K3097" t="n">
        <v>0.089</v>
      </c>
      <c r="L3097" t="n">
        <v>0.805</v>
      </c>
      <c r="M3097" t="n">
        <v>0.106</v>
      </c>
    </row>
    <row r="3098" spans="1:13">
      <c r="A3098" s="1">
        <f>HYPERLINK("http://www.twitter.com/NathanBLawrence/status/986854795419029504", "986854795419029504")</f>
        <v/>
      </c>
      <c r="B3098" s="2" t="n">
        <v>43209.27189814814</v>
      </c>
      <c r="C3098" t="n">
        <v>0</v>
      </c>
      <c r="D3098" t="n">
        <v>1478</v>
      </c>
      <c r="E3098" t="s">
        <v>3098</v>
      </c>
      <c r="F3098" t="s"/>
      <c r="G3098" t="s"/>
      <c r="H3098" t="s"/>
      <c r="I3098" t="s"/>
      <c r="J3098" t="n">
        <v>0.6369</v>
      </c>
      <c r="K3098" t="n">
        <v>0</v>
      </c>
      <c r="L3098" t="n">
        <v>0.84</v>
      </c>
      <c r="M3098" t="n">
        <v>0.16</v>
      </c>
    </row>
    <row r="3099" spans="1:13">
      <c r="A3099" s="1">
        <f>HYPERLINK("http://www.twitter.com/NathanBLawrence/status/986854662858006533", "986854662858006533")</f>
        <v/>
      </c>
      <c r="B3099" s="2" t="n">
        <v>43209.27153935185</v>
      </c>
      <c r="C3099" t="n">
        <v>0</v>
      </c>
      <c r="D3099" t="n">
        <v>1287</v>
      </c>
      <c r="E3099" t="s">
        <v>3099</v>
      </c>
      <c r="F3099" t="s"/>
      <c r="G3099" t="s"/>
      <c r="H3099" t="s"/>
      <c r="I3099" t="s"/>
      <c r="J3099" t="n">
        <v>0.3612</v>
      </c>
      <c r="K3099" t="n">
        <v>0</v>
      </c>
      <c r="L3099" t="n">
        <v>0.872</v>
      </c>
      <c r="M3099" t="n">
        <v>0.128</v>
      </c>
    </row>
    <row r="3100" spans="1:13">
      <c r="A3100" s="1">
        <f>HYPERLINK("http://www.twitter.com/NathanBLawrence/status/986854581744398336", "986854581744398336")</f>
        <v/>
      </c>
      <c r="B3100" s="2" t="n">
        <v>43209.27130787037</v>
      </c>
      <c r="C3100" t="n">
        <v>0</v>
      </c>
      <c r="D3100" t="n">
        <v>6977</v>
      </c>
      <c r="E3100" t="s">
        <v>3100</v>
      </c>
      <c r="F3100" t="s"/>
      <c r="G3100" t="s"/>
      <c r="H3100" t="s"/>
      <c r="I3100" t="s"/>
      <c r="J3100" t="n">
        <v>0.4404</v>
      </c>
      <c r="K3100" t="n">
        <v>0</v>
      </c>
      <c r="L3100" t="n">
        <v>0.707</v>
      </c>
      <c r="M3100" t="n">
        <v>0.293</v>
      </c>
    </row>
    <row r="3101" spans="1:13">
      <c r="A3101" s="1">
        <f>HYPERLINK("http://www.twitter.com/NathanBLawrence/status/986814925300355073", "986814925300355073")</f>
        <v/>
      </c>
      <c r="B3101" s="2" t="n">
        <v>43209.161875</v>
      </c>
      <c r="C3101" t="n">
        <v>0</v>
      </c>
      <c r="D3101" t="n">
        <v>320</v>
      </c>
      <c r="E3101" t="s">
        <v>3101</v>
      </c>
      <c r="F3101" t="s"/>
      <c r="G3101" t="s"/>
      <c r="H3101" t="s"/>
      <c r="I3101" t="s"/>
      <c r="J3101" t="n">
        <v>-0.8126</v>
      </c>
      <c r="K3101" t="n">
        <v>0.296</v>
      </c>
      <c r="L3101" t="n">
        <v>0.704</v>
      </c>
      <c r="M3101" t="n">
        <v>0</v>
      </c>
    </row>
    <row r="3102" spans="1:13">
      <c r="A3102" s="1">
        <f>HYPERLINK("http://www.twitter.com/NathanBLawrence/status/986814818056224768", "986814818056224768")</f>
        <v/>
      </c>
      <c r="B3102" s="2" t="n">
        <v>43209.16158564815</v>
      </c>
      <c r="C3102" t="n">
        <v>0</v>
      </c>
      <c r="D3102" t="n">
        <v>542</v>
      </c>
      <c r="E3102" t="s">
        <v>3102</v>
      </c>
      <c r="F3102" t="s"/>
      <c r="G3102" t="s"/>
      <c r="H3102" t="s"/>
      <c r="I3102" t="s"/>
      <c r="J3102" t="n">
        <v>0.4019</v>
      </c>
      <c r="K3102" t="n">
        <v>0</v>
      </c>
      <c r="L3102" t="n">
        <v>0.895</v>
      </c>
      <c r="M3102" t="n">
        <v>0.105</v>
      </c>
    </row>
    <row r="3103" spans="1:13">
      <c r="A3103" s="1">
        <f>HYPERLINK("http://www.twitter.com/NathanBLawrence/status/986814719292944384", "986814719292944384")</f>
        <v/>
      </c>
      <c r="B3103" s="2" t="n">
        <v>43209.16130787037</v>
      </c>
      <c r="C3103" t="n">
        <v>0</v>
      </c>
      <c r="D3103" t="n">
        <v>105</v>
      </c>
      <c r="E3103" t="s">
        <v>3103</v>
      </c>
      <c r="F3103" t="s"/>
      <c r="G3103" t="s"/>
      <c r="H3103" t="s"/>
      <c r="I3103" t="s"/>
      <c r="J3103" t="n">
        <v>0</v>
      </c>
      <c r="K3103" t="n">
        <v>0</v>
      </c>
      <c r="L3103" t="n">
        <v>1</v>
      </c>
      <c r="M3103" t="n">
        <v>0</v>
      </c>
    </row>
    <row r="3104" spans="1:13">
      <c r="A3104" s="1">
        <f>HYPERLINK("http://www.twitter.com/NathanBLawrence/status/986814641941528577", "986814641941528577")</f>
        <v/>
      </c>
      <c r="B3104" s="2" t="n">
        <v>43209.16109953704</v>
      </c>
      <c r="C3104" t="n">
        <v>0</v>
      </c>
      <c r="D3104" t="n">
        <v>424</v>
      </c>
      <c r="E3104" t="s">
        <v>3104</v>
      </c>
      <c r="F3104" t="s"/>
      <c r="G3104" t="s"/>
      <c r="H3104" t="s"/>
      <c r="I3104" t="s"/>
      <c r="J3104" t="n">
        <v>0</v>
      </c>
      <c r="K3104" t="n">
        <v>0</v>
      </c>
      <c r="L3104" t="n">
        <v>1</v>
      </c>
      <c r="M3104" t="n">
        <v>0</v>
      </c>
    </row>
    <row r="3105" spans="1:13">
      <c r="A3105" s="1">
        <f>HYPERLINK("http://www.twitter.com/NathanBLawrence/status/986814595514875904", "986814595514875904")</f>
        <v/>
      </c>
      <c r="B3105" s="2" t="n">
        <v>43209.16097222222</v>
      </c>
      <c r="C3105" t="n">
        <v>0</v>
      </c>
      <c r="D3105" t="n">
        <v>363</v>
      </c>
      <c r="E3105" t="s">
        <v>3105</v>
      </c>
      <c r="F3105" t="s"/>
      <c r="G3105" t="s"/>
      <c r="H3105" t="s"/>
      <c r="I3105" t="s"/>
      <c r="J3105" t="n">
        <v>-0.5266999999999999</v>
      </c>
      <c r="K3105" t="n">
        <v>0.195</v>
      </c>
      <c r="L3105" t="n">
        <v>0.805</v>
      </c>
      <c r="M3105" t="n">
        <v>0</v>
      </c>
    </row>
    <row r="3106" spans="1:13">
      <c r="A3106" s="1">
        <f>HYPERLINK("http://www.twitter.com/NathanBLawrence/status/986814543518056448", "986814543518056448")</f>
        <v/>
      </c>
      <c r="B3106" s="2" t="n">
        <v>43209.16082175926</v>
      </c>
      <c r="C3106" t="n">
        <v>0</v>
      </c>
      <c r="D3106" t="n">
        <v>372</v>
      </c>
      <c r="E3106" t="s">
        <v>3106</v>
      </c>
      <c r="F3106" t="s"/>
      <c r="G3106" t="s"/>
      <c r="H3106" t="s"/>
      <c r="I3106" t="s"/>
      <c r="J3106" t="n">
        <v>0.832</v>
      </c>
      <c r="K3106" t="n">
        <v>0</v>
      </c>
      <c r="L3106" t="n">
        <v>0.647</v>
      </c>
      <c r="M3106" t="n">
        <v>0.353</v>
      </c>
    </row>
    <row r="3107" spans="1:13">
      <c r="A3107" s="1">
        <f>HYPERLINK("http://www.twitter.com/NathanBLawrence/status/986814485242376192", "986814485242376192")</f>
        <v/>
      </c>
      <c r="B3107" s="2" t="n">
        <v>43209.1606712963</v>
      </c>
      <c r="C3107" t="n">
        <v>0</v>
      </c>
      <c r="D3107" t="n">
        <v>194</v>
      </c>
      <c r="E3107" t="s">
        <v>3107</v>
      </c>
      <c r="F3107" t="s"/>
      <c r="G3107" t="s"/>
      <c r="H3107" t="s"/>
      <c r="I3107" t="s"/>
      <c r="J3107" t="n">
        <v>0</v>
      </c>
      <c r="K3107" t="n">
        <v>0</v>
      </c>
      <c r="L3107" t="n">
        <v>1</v>
      </c>
      <c r="M3107" t="n">
        <v>0</v>
      </c>
    </row>
    <row r="3108" spans="1:13">
      <c r="A3108" s="1">
        <f>HYPERLINK("http://www.twitter.com/NathanBLawrence/status/986814423321870337", "986814423321870337")</f>
        <v/>
      </c>
      <c r="B3108" s="2" t="n">
        <v>43209.16049768519</v>
      </c>
      <c r="C3108" t="n">
        <v>0</v>
      </c>
      <c r="D3108" t="n">
        <v>201</v>
      </c>
      <c r="E3108" t="s">
        <v>3108</v>
      </c>
      <c r="F3108" t="s"/>
      <c r="G3108" t="s"/>
      <c r="H3108" t="s"/>
      <c r="I3108" t="s"/>
      <c r="J3108" t="n">
        <v>0</v>
      </c>
      <c r="K3108" t="n">
        <v>0</v>
      </c>
      <c r="L3108" t="n">
        <v>1</v>
      </c>
      <c r="M3108" t="n">
        <v>0</v>
      </c>
    </row>
    <row r="3109" spans="1:13">
      <c r="A3109" s="1">
        <f>HYPERLINK("http://www.twitter.com/NathanBLawrence/status/986814347480412160", "986814347480412160")</f>
        <v/>
      </c>
      <c r="B3109" s="2" t="n">
        <v>43209.16028935185</v>
      </c>
      <c r="C3109" t="n">
        <v>0</v>
      </c>
      <c r="D3109" t="n">
        <v>790</v>
      </c>
      <c r="E3109" t="s">
        <v>3109</v>
      </c>
      <c r="F3109" t="s"/>
      <c r="G3109" t="s"/>
      <c r="H3109" t="s"/>
      <c r="I3109" t="s"/>
      <c r="J3109" t="n">
        <v>0</v>
      </c>
      <c r="K3109" t="n">
        <v>0</v>
      </c>
      <c r="L3109" t="n">
        <v>1</v>
      </c>
      <c r="M3109" t="n">
        <v>0</v>
      </c>
    </row>
    <row r="3110" spans="1:13">
      <c r="A3110" s="1">
        <f>HYPERLINK("http://www.twitter.com/NathanBLawrence/status/986814246984990721", "986814246984990721")</f>
        <v/>
      </c>
      <c r="B3110" s="2" t="n">
        <v>43209.16001157407</v>
      </c>
      <c r="C3110" t="n">
        <v>0</v>
      </c>
      <c r="D3110" t="n">
        <v>443</v>
      </c>
      <c r="E3110" t="s">
        <v>3110</v>
      </c>
      <c r="F3110" t="s"/>
      <c r="G3110" t="s"/>
      <c r="H3110" t="s"/>
      <c r="I3110" t="s"/>
      <c r="J3110" t="n">
        <v>0.5622</v>
      </c>
      <c r="K3110" t="n">
        <v>0.08500000000000001</v>
      </c>
      <c r="L3110" t="n">
        <v>0.713</v>
      </c>
      <c r="M3110" t="n">
        <v>0.202</v>
      </c>
    </row>
    <row r="3111" spans="1:13">
      <c r="A3111" s="1">
        <f>HYPERLINK("http://www.twitter.com/NathanBLawrence/status/986814021885046784", "986814021885046784")</f>
        <v/>
      </c>
      <c r="B3111" s="2" t="n">
        <v>43209.15938657407</v>
      </c>
      <c r="C3111" t="n">
        <v>0</v>
      </c>
      <c r="D3111" t="n">
        <v>139</v>
      </c>
      <c r="E3111" t="s">
        <v>3111</v>
      </c>
      <c r="F3111" t="s"/>
      <c r="G3111" t="s"/>
      <c r="H3111" t="s"/>
      <c r="I3111" t="s"/>
      <c r="J3111" t="n">
        <v>0</v>
      </c>
      <c r="K3111" t="n">
        <v>0</v>
      </c>
      <c r="L3111" t="n">
        <v>1</v>
      </c>
      <c r="M3111" t="n">
        <v>0</v>
      </c>
    </row>
    <row r="3112" spans="1:13">
      <c r="A3112" s="1">
        <f>HYPERLINK("http://www.twitter.com/NathanBLawrence/status/986813958144208896", "986813958144208896")</f>
        <v/>
      </c>
      <c r="B3112" s="2" t="n">
        <v>43209.15921296296</v>
      </c>
      <c r="C3112" t="n">
        <v>0</v>
      </c>
      <c r="D3112" t="n">
        <v>2273</v>
      </c>
      <c r="E3112" t="s">
        <v>3112</v>
      </c>
      <c r="F3112" t="s"/>
      <c r="G3112" t="s"/>
      <c r="H3112" t="s"/>
      <c r="I3112" t="s"/>
      <c r="J3112" t="n">
        <v>0.2263</v>
      </c>
      <c r="K3112" t="n">
        <v>0</v>
      </c>
      <c r="L3112" t="n">
        <v>0.924</v>
      </c>
      <c r="M3112" t="n">
        <v>0.076</v>
      </c>
    </row>
    <row r="3113" spans="1:13">
      <c r="A3113" s="1">
        <f>HYPERLINK("http://www.twitter.com/NathanBLawrence/status/986813917224513536", "986813917224513536")</f>
        <v/>
      </c>
      <c r="B3113" s="2" t="n">
        <v>43209.15909722223</v>
      </c>
      <c r="C3113" t="n">
        <v>0</v>
      </c>
      <c r="D3113" t="n">
        <v>309</v>
      </c>
      <c r="E3113" t="s">
        <v>3113</v>
      </c>
      <c r="F3113" t="s"/>
      <c r="G3113" t="s"/>
      <c r="H3113" t="s"/>
      <c r="I3113" t="s"/>
      <c r="J3113" t="n">
        <v>0.743</v>
      </c>
      <c r="K3113" t="n">
        <v>0</v>
      </c>
      <c r="L3113" t="n">
        <v>0.7</v>
      </c>
      <c r="M3113" t="n">
        <v>0.3</v>
      </c>
    </row>
    <row r="3114" spans="1:13">
      <c r="A3114" s="1">
        <f>HYPERLINK("http://www.twitter.com/NathanBLawrence/status/986813849809518593", "986813849809518593")</f>
        <v/>
      </c>
      <c r="B3114" s="2" t="n">
        <v>43209.15891203703</v>
      </c>
      <c r="C3114" t="n">
        <v>0</v>
      </c>
      <c r="D3114" t="n">
        <v>649</v>
      </c>
      <c r="E3114" t="s">
        <v>3114</v>
      </c>
      <c r="F3114" t="s"/>
      <c r="G3114" t="s"/>
      <c r="H3114" t="s"/>
      <c r="I3114" t="s"/>
      <c r="J3114" t="n">
        <v>0</v>
      </c>
      <c r="K3114" t="n">
        <v>0</v>
      </c>
      <c r="L3114" t="n">
        <v>1</v>
      </c>
      <c r="M3114" t="n">
        <v>0</v>
      </c>
    </row>
    <row r="3115" spans="1:13">
      <c r="A3115" s="1">
        <f>HYPERLINK("http://www.twitter.com/NathanBLawrence/status/986813825641996288", "986813825641996288")</f>
        <v/>
      </c>
      <c r="B3115" s="2" t="n">
        <v>43209.15884259259</v>
      </c>
      <c r="C3115" t="n">
        <v>0</v>
      </c>
      <c r="D3115" t="n">
        <v>2185</v>
      </c>
      <c r="E3115" t="s">
        <v>3115</v>
      </c>
      <c r="F3115" t="s"/>
      <c r="G3115" t="s"/>
      <c r="H3115" t="s"/>
      <c r="I3115" t="s"/>
      <c r="J3115" t="n">
        <v>0</v>
      </c>
      <c r="K3115" t="n">
        <v>0</v>
      </c>
      <c r="L3115" t="n">
        <v>1</v>
      </c>
      <c r="M3115" t="n">
        <v>0</v>
      </c>
    </row>
    <row r="3116" spans="1:13">
      <c r="A3116" s="1">
        <f>HYPERLINK("http://www.twitter.com/NathanBLawrence/status/986813767865401345", "986813767865401345")</f>
        <v/>
      </c>
      <c r="B3116" s="2" t="n">
        <v>43209.15869212963</v>
      </c>
      <c r="C3116" t="n">
        <v>0</v>
      </c>
      <c r="D3116" t="n">
        <v>398</v>
      </c>
      <c r="E3116" t="s">
        <v>3116</v>
      </c>
      <c r="F3116" t="s"/>
      <c r="G3116" t="s"/>
      <c r="H3116" t="s"/>
      <c r="I3116" t="s"/>
      <c r="J3116" t="n">
        <v>0</v>
      </c>
      <c r="K3116" t="n">
        <v>0</v>
      </c>
      <c r="L3116" t="n">
        <v>1</v>
      </c>
      <c r="M3116" t="n">
        <v>0</v>
      </c>
    </row>
    <row r="3117" spans="1:13">
      <c r="A3117" s="1">
        <f>HYPERLINK("http://www.twitter.com/NathanBLawrence/status/986813669060194305", "986813669060194305")</f>
        <v/>
      </c>
      <c r="B3117" s="2" t="n">
        <v>43209.15841435185</v>
      </c>
      <c r="C3117" t="n">
        <v>0</v>
      </c>
      <c r="D3117" t="n">
        <v>204</v>
      </c>
      <c r="E3117" t="s">
        <v>3117</v>
      </c>
      <c r="F3117">
        <f>HYPERLINK("http://pbs.twimg.com/media/DbGw0DoWsAItrdb.jpg", "http://pbs.twimg.com/media/DbGw0DoWsAItrdb.jpg")</f>
        <v/>
      </c>
      <c r="G3117" t="s"/>
      <c r="H3117" t="s"/>
      <c r="I3117" t="s"/>
      <c r="J3117" t="n">
        <v>0.3321</v>
      </c>
      <c r="K3117" t="n">
        <v>0</v>
      </c>
      <c r="L3117" t="n">
        <v>0.871</v>
      </c>
      <c r="M3117" t="n">
        <v>0.129</v>
      </c>
    </row>
    <row r="3118" spans="1:13">
      <c r="A3118" s="1">
        <f>HYPERLINK("http://www.twitter.com/NathanBLawrence/status/986813580489121793", "986813580489121793")</f>
        <v/>
      </c>
      <c r="B3118" s="2" t="n">
        <v>43209.15817129629</v>
      </c>
      <c r="C3118" t="n">
        <v>0</v>
      </c>
      <c r="D3118" t="n">
        <v>184</v>
      </c>
      <c r="E3118" t="s">
        <v>3118</v>
      </c>
      <c r="F3118" t="s"/>
      <c r="G3118" t="s"/>
      <c r="H3118" t="s"/>
      <c r="I3118" t="s"/>
      <c r="J3118" t="n">
        <v>0.0258</v>
      </c>
      <c r="K3118" t="n">
        <v>0.055</v>
      </c>
      <c r="L3118" t="n">
        <v>0.886</v>
      </c>
      <c r="M3118" t="n">
        <v>0.059</v>
      </c>
    </row>
    <row r="3119" spans="1:13">
      <c r="A3119" s="1">
        <f>HYPERLINK("http://www.twitter.com/NathanBLawrence/status/986813505671020544", "986813505671020544")</f>
        <v/>
      </c>
      <c r="B3119" s="2" t="n">
        <v>43209.15796296296</v>
      </c>
      <c r="C3119" t="n">
        <v>0</v>
      </c>
      <c r="D3119" t="n">
        <v>139</v>
      </c>
      <c r="E3119" t="s">
        <v>3119</v>
      </c>
      <c r="F3119" t="s"/>
      <c r="G3119" t="s"/>
      <c r="H3119" t="s"/>
      <c r="I3119" t="s"/>
      <c r="J3119" t="n">
        <v>0.0258</v>
      </c>
      <c r="K3119" t="n">
        <v>0</v>
      </c>
      <c r="L3119" t="n">
        <v>0.95</v>
      </c>
      <c r="M3119" t="n">
        <v>0.05</v>
      </c>
    </row>
    <row r="3120" spans="1:13">
      <c r="A3120" s="1">
        <f>HYPERLINK("http://www.twitter.com/NathanBLawrence/status/986813421449441280", "986813421449441280")</f>
        <v/>
      </c>
      <c r="B3120" s="2" t="n">
        <v>43209.15773148148</v>
      </c>
      <c r="C3120" t="n">
        <v>0</v>
      </c>
      <c r="D3120" t="n">
        <v>1762</v>
      </c>
      <c r="E3120" t="s">
        <v>3120</v>
      </c>
      <c r="F3120" t="s"/>
      <c r="G3120" t="s"/>
      <c r="H3120" t="s"/>
      <c r="I3120" t="s"/>
      <c r="J3120" t="n">
        <v>0.6573</v>
      </c>
      <c r="K3120" t="n">
        <v>0</v>
      </c>
      <c r="L3120" t="n">
        <v>0.851</v>
      </c>
      <c r="M3120" t="n">
        <v>0.149</v>
      </c>
    </row>
    <row r="3121" spans="1:13">
      <c r="A3121" s="1">
        <f>HYPERLINK("http://www.twitter.com/NathanBLawrence/status/986813266306392064", "986813266306392064")</f>
        <v/>
      </c>
      <c r="B3121" s="2" t="n">
        <v>43209.15730324074</v>
      </c>
      <c r="C3121" t="n">
        <v>0</v>
      </c>
      <c r="D3121" t="n">
        <v>33</v>
      </c>
      <c r="E3121" t="s">
        <v>3121</v>
      </c>
      <c r="F3121">
        <f>HYPERLINK("http://pbs.twimg.com/media/DbAxL08W0AMm7Fk.jpg", "http://pbs.twimg.com/media/DbAxL08W0AMm7Fk.jpg")</f>
        <v/>
      </c>
      <c r="G3121" t="s"/>
      <c r="H3121" t="s"/>
      <c r="I3121" t="s"/>
      <c r="J3121" t="n">
        <v>0</v>
      </c>
      <c r="K3121" t="n">
        <v>0</v>
      </c>
      <c r="L3121" t="n">
        <v>1</v>
      </c>
      <c r="M3121" t="n">
        <v>0</v>
      </c>
    </row>
    <row r="3122" spans="1:13">
      <c r="A3122" s="1">
        <f>HYPERLINK("http://www.twitter.com/NathanBLawrence/status/986813230138798080", "986813230138798080")</f>
        <v/>
      </c>
      <c r="B3122" s="2" t="n">
        <v>43209.15719907408</v>
      </c>
      <c r="C3122" t="n">
        <v>0</v>
      </c>
      <c r="D3122" t="n">
        <v>21</v>
      </c>
      <c r="E3122" t="s">
        <v>3122</v>
      </c>
      <c r="F3122">
        <f>HYPERLINK("http://pbs.twimg.com/media/DbAxF59W4AA2BZp.jpg", "http://pbs.twimg.com/media/DbAxF59W4AA2BZp.jpg")</f>
        <v/>
      </c>
      <c r="G3122" t="s"/>
      <c r="H3122" t="s"/>
      <c r="I3122" t="s"/>
      <c r="J3122" t="n">
        <v>0</v>
      </c>
      <c r="K3122" t="n">
        <v>0</v>
      </c>
      <c r="L3122" t="n">
        <v>1</v>
      </c>
      <c r="M3122" t="n">
        <v>0</v>
      </c>
    </row>
    <row r="3123" spans="1:13">
      <c r="A3123" s="1">
        <f>HYPERLINK("http://www.twitter.com/NathanBLawrence/status/986813170319699968", "986813170319699968")</f>
        <v/>
      </c>
      <c r="B3123" s="2" t="n">
        <v>43209.15703703704</v>
      </c>
      <c r="C3123" t="n">
        <v>0</v>
      </c>
      <c r="D3123" t="n">
        <v>14</v>
      </c>
      <c r="E3123" t="s">
        <v>3123</v>
      </c>
      <c r="F3123">
        <f>HYPERLINK("http://pbs.twimg.com/media/DbAxAQJW4AAIbhH.jpg", "http://pbs.twimg.com/media/DbAxAQJW4AAIbhH.jpg")</f>
        <v/>
      </c>
      <c r="G3123" t="s"/>
      <c r="H3123" t="s"/>
      <c r="I3123" t="s"/>
      <c r="J3123" t="n">
        <v>0</v>
      </c>
      <c r="K3123" t="n">
        <v>0</v>
      </c>
      <c r="L3123" t="n">
        <v>1</v>
      </c>
      <c r="M3123" t="n">
        <v>0</v>
      </c>
    </row>
    <row r="3124" spans="1:13">
      <c r="A3124" s="1">
        <f>HYPERLINK("http://www.twitter.com/NathanBLawrence/status/986813137948106752", "986813137948106752")</f>
        <v/>
      </c>
      <c r="B3124" s="2" t="n">
        <v>43209.15694444445</v>
      </c>
      <c r="C3124" t="n">
        <v>0</v>
      </c>
      <c r="D3124" t="n">
        <v>14</v>
      </c>
      <c r="E3124" t="s">
        <v>3124</v>
      </c>
      <c r="F3124">
        <f>HYPERLINK("http://pbs.twimg.com/media/DbAw7V7XkAI2dx2.jpg", "http://pbs.twimg.com/media/DbAw7V7XkAI2dx2.jpg")</f>
        <v/>
      </c>
      <c r="G3124" t="s"/>
      <c r="H3124" t="s"/>
      <c r="I3124" t="s"/>
      <c r="J3124" t="n">
        <v>0</v>
      </c>
      <c r="K3124" t="n">
        <v>0</v>
      </c>
      <c r="L3124" t="n">
        <v>1</v>
      </c>
      <c r="M3124" t="n">
        <v>0</v>
      </c>
    </row>
    <row r="3125" spans="1:13">
      <c r="A3125" s="1">
        <f>HYPERLINK("http://www.twitter.com/NathanBLawrence/status/986813093861720064", "986813093861720064")</f>
        <v/>
      </c>
      <c r="B3125" s="2" t="n">
        <v>43209.1568287037</v>
      </c>
      <c r="C3125" t="n">
        <v>0</v>
      </c>
      <c r="D3125" t="n">
        <v>26</v>
      </c>
      <c r="E3125" t="s">
        <v>3125</v>
      </c>
      <c r="F3125">
        <f>HYPERLINK("http://pbs.twimg.com/media/DbAwxGAX0AAAf1i.jpg", "http://pbs.twimg.com/media/DbAwxGAX0AAAf1i.jpg")</f>
        <v/>
      </c>
      <c r="G3125" t="s"/>
      <c r="H3125" t="s"/>
      <c r="I3125" t="s"/>
      <c r="J3125" t="n">
        <v>0</v>
      </c>
      <c r="K3125" t="n">
        <v>0</v>
      </c>
      <c r="L3125" t="n">
        <v>1</v>
      </c>
      <c r="M3125" t="n">
        <v>0</v>
      </c>
    </row>
    <row r="3126" spans="1:13">
      <c r="A3126" s="1">
        <f>HYPERLINK("http://www.twitter.com/NathanBLawrence/status/986813067307565056", "986813067307565056")</f>
        <v/>
      </c>
      <c r="B3126" s="2" t="n">
        <v>43209.15675925926</v>
      </c>
      <c r="C3126" t="n">
        <v>0</v>
      </c>
      <c r="D3126" t="n">
        <v>116</v>
      </c>
      <c r="E3126" t="s">
        <v>3126</v>
      </c>
      <c r="F3126">
        <f>HYPERLINK("http://pbs.twimg.com/media/DbAwqpPXUAcQDJV.jpg", "http://pbs.twimg.com/media/DbAwqpPXUAcQDJV.jpg")</f>
        <v/>
      </c>
      <c r="G3126" t="s"/>
      <c r="H3126" t="s"/>
      <c r="I3126" t="s"/>
      <c r="J3126" t="n">
        <v>0</v>
      </c>
      <c r="K3126" t="n">
        <v>0</v>
      </c>
      <c r="L3126" t="n">
        <v>1</v>
      </c>
      <c r="M3126" t="n">
        <v>0</v>
      </c>
    </row>
    <row r="3127" spans="1:13">
      <c r="A3127" s="1">
        <f>HYPERLINK("http://www.twitter.com/NathanBLawrence/status/986813035317608449", "986813035317608449")</f>
        <v/>
      </c>
      <c r="B3127" s="2" t="n">
        <v>43209.15666666667</v>
      </c>
      <c r="C3127" t="n">
        <v>0</v>
      </c>
      <c r="D3127" t="n">
        <v>1333</v>
      </c>
      <c r="E3127" t="s">
        <v>3127</v>
      </c>
      <c r="F3127">
        <f>HYPERLINK("http://pbs.twimg.com/media/DbAwDBHVwAAa9KH.jpg", "http://pbs.twimg.com/media/DbAwDBHVwAAa9KH.jpg")</f>
        <v/>
      </c>
      <c r="G3127" t="s"/>
      <c r="H3127" t="s"/>
      <c r="I3127" t="s"/>
      <c r="J3127" t="n">
        <v>0.7206</v>
      </c>
      <c r="K3127" t="n">
        <v>0</v>
      </c>
      <c r="L3127" t="n">
        <v>0.6830000000000001</v>
      </c>
      <c r="M3127" t="n">
        <v>0.317</v>
      </c>
    </row>
    <row r="3128" spans="1:13">
      <c r="A3128" s="1">
        <f>HYPERLINK("http://www.twitter.com/NathanBLawrence/status/986812824654458881", "986812824654458881")</f>
        <v/>
      </c>
      <c r="B3128" s="2" t="n">
        <v>43209.15608796296</v>
      </c>
      <c r="C3128" t="n">
        <v>0</v>
      </c>
      <c r="D3128" t="n">
        <v>3012</v>
      </c>
      <c r="E3128" t="s">
        <v>3128</v>
      </c>
      <c r="F3128" t="s"/>
      <c r="G3128" t="s"/>
      <c r="H3128" t="s"/>
      <c r="I3128" t="s"/>
      <c r="J3128" t="n">
        <v>-0.2732</v>
      </c>
      <c r="K3128" t="n">
        <v>0.08</v>
      </c>
      <c r="L3128" t="n">
        <v>0.92</v>
      </c>
      <c r="M3128" t="n">
        <v>0</v>
      </c>
    </row>
    <row r="3129" spans="1:13">
      <c r="A3129" s="1">
        <f>HYPERLINK("http://www.twitter.com/NathanBLawrence/status/986812662372642816", "986812662372642816")</f>
        <v/>
      </c>
      <c r="B3129" s="2" t="n">
        <v>43209.15563657408</v>
      </c>
      <c r="C3129" t="n">
        <v>1</v>
      </c>
      <c r="D3129" t="n">
        <v>1</v>
      </c>
      <c r="E3129" t="s">
        <v>3129</v>
      </c>
      <c r="F3129" t="s"/>
      <c r="G3129" t="s"/>
      <c r="H3129" t="s"/>
      <c r="I3129" t="s"/>
      <c r="J3129" t="n">
        <v>0</v>
      </c>
      <c r="K3129" t="n">
        <v>0</v>
      </c>
      <c r="L3129" t="n">
        <v>1</v>
      </c>
      <c r="M3129" t="n">
        <v>0</v>
      </c>
    </row>
    <row r="3130" spans="1:13">
      <c r="A3130" s="1">
        <f>HYPERLINK("http://www.twitter.com/NathanBLawrence/status/986807668156219392", "986807668156219392")</f>
        <v/>
      </c>
      <c r="B3130" s="2" t="n">
        <v>43209.14185185185</v>
      </c>
      <c r="C3130" t="n">
        <v>0</v>
      </c>
      <c r="D3130" t="n">
        <v>0</v>
      </c>
      <c r="E3130" t="s">
        <v>3130</v>
      </c>
      <c r="F3130" t="s"/>
      <c r="G3130" t="s"/>
      <c r="H3130" t="s"/>
      <c r="I3130" t="s"/>
      <c r="J3130" t="n">
        <v>0</v>
      </c>
      <c r="K3130" t="n">
        <v>0</v>
      </c>
      <c r="L3130" t="n">
        <v>1</v>
      </c>
      <c r="M3130" t="n">
        <v>0</v>
      </c>
    </row>
    <row r="3131" spans="1:13">
      <c r="A3131" s="1">
        <f>HYPERLINK("http://www.twitter.com/NathanBLawrence/status/986807533170974721", "986807533170974721")</f>
        <v/>
      </c>
      <c r="B3131" s="2" t="n">
        <v>43209.14148148148</v>
      </c>
      <c r="C3131" t="n">
        <v>0</v>
      </c>
      <c r="D3131" t="n">
        <v>5442</v>
      </c>
      <c r="E3131" t="s">
        <v>3131</v>
      </c>
      <c r="F3131" t="s"/>
      <c r="G3131" t="s"/>
      <c r="H3131" t="s"/>
      <c r="I3131" t="s"/>
      <c r="J3131" t="n">
        <v>0.7351</v>
      </c>
      <c r="K3131" t="n">
        <v>0</v>
      </c>
      <c r="L3131" t="n">
        <v>0.725</v>
      </c>
      <c r="M3131" t="n">
        <v>0.275</v>
      </c>
    </row>
    <row r="3132" spans="1:13">
      <c r="A3132" s="1">
        <f>HYPERLINK("http://www.twitter.com/NathanBLawrence/status/986806937604902912", "986806937604902912")</f>
        <v/>
      </c>
      <c r="B3132" s="2" t="n">
        <v>43209.13983796296</v>
      </c>
      <c r="C3132" t="n">
        <v>0</v>
      </c>
      <c r="D3132" t="n">
        <v>208</v>
      </c>
      <c r="E3132" t="s">
        <v>3132</v>
      </c>
      <c r="F3132">
        <f>HYPERLINK("http://pbs.twimg.com/media/DbGaOqxXcAABTZ5.jpg", "http://pbs.twimg.com/media/DbGaOqxXcAABTZ5.jpg")</f>
        <v/>
      </c>
      <c r="G3132" t="s"/>
      <c r="H3132" t="s"/>
      <c r="I3132" t="s"/>
      <c r="J3132" t="n">
        <v>0</v>
      </c>
      <c r="K3132" t="n">
        <v>0</v>
      </c>
      <c r="L3132" t="n">
        <v>1</v>
      </c>
      <c r="M3132" t="n">
        <v>0</v>
      </c>
    </row>
    <row r="3133" spans="1:13">
      <c r="A3133" s="1">
        <f>HYPERLINK("http://www.twitter.com/NathanBLawrence/status/986806884144300033", "986806884144300033")</f>
        <v/>
      </c>
      <c r="B3133" s="2" t="n">
        <v>43209.1396875</v>
      </c>
      <c r="C3133" t="n">
        <v>0</v>
      </c>
      <c r="D3133" t="n">
        <v>4455</v>
      </c>
      <c r="E3133" t="s">
        <v>3133</v>
      </c>
      <c r="F3133" t="s"/>
      <c r="G3133" t="s"/>
      <c r="H3133" t="s"/>
      <c r="I3133" t="s"/>
      <c r="J3133" t="n">
        <v>0.8807</v>
      </c>
      <c r="K3133" t="n">
        <v>0</v>
      </c>
      <c r="L3133" t="n">
        <v>0.556</v>
      </c>
      <c r="M3133" t="n">
        <v>0.444</v>
      </c>
    </row>
    <row r="3134" spans="1:13">
      <c r="A3134" s="1">
        <f>HYPERLINK("http://www.twitter.com/NathanBLawrence/status/986806661804277762", "986806661804277762")</f>
        <v/>
      </c>
      <c r="B3134" s="2" t="n">
        <v>43209.13907407408</v>
      </c>
      <c r="C3134" t="n">
        <v>0</v>
      </c>
      <c r="D3134" t="n">
        <v>1245</v>
      </c>
      <c r="E3134" t="s">
        <v>3134</v>
      </c>
      <c r="F3134">
        <f>HYPERLINK("https://video.twimg.com/ext_tw_video/986773097289306112/pu/vid/1280x720/SnEHtURSaL7FOLnE.mp4?tag=3", "https://video.twimg.com/ext_tw_video/986773097289306112/pu/vid/1280x720/SnEHtURSaL7FOLnE.mp4?tag=3")</f>
        <v/>
      </c>
      <c r="G3134" t="s"/>
      <c r="H3134" t="s"/>
      <c r="I3134" t="s"/>
      <c r="J3134" t="n">
        <v>0</v>
      </c>
      <c r="K3134" t="n">
        <v>0</v>
      </c>
      <c r="L3134" t="n">
        <v>1</v>
      </c>
      <c r="M3134" t="n">
        <v>0</v>
      </c>
    </row>
    <row r="3135" spans="1:13">
      <c r="A3135" s="1">
        <f>HYPERLINK("http://www.twitter.com/NathanBLawrence/status/986806140536217600", "986806140536217600")</f>
        <v/>
      </c>
      <c r="B3135" s="2" t="n">
        <v>43209.13763888889</v>
      </c>
      <c r="C3135" t="n">
        <v>0</v>
      </c>
      <c r="D3135" t="n">
        <v>14599</v>
      </c>
      <c r="E3135" t="s">
        <v>3135</v>
      </c>
      <c r="F3135">
        <f>HYPERLINK("https://video.twimg.com/ext_tw_video/986799661355819009/pu/vid/1280x720/5FcPJl4jAEVkDKno.mp4?tag=3", "https://video.twimg.com/ext_tw_video/986799661355819009/pu/vid/1280x720/5FcPJl4jAEVkDKno.mp4?tag=3")</f>
        <v/>
      </c>
      <c r="G3135" t="s"/>
      <c r="H3135" t="s"/>
      <c r="I3135" t="s"/>
      <c r="J3135" t="n">
        <v>0.8885</v>
      </c>
      <c r="K3135" t="n">
        <v>0</v>
      </c>
      <c r="L3135" t="n">
        <v>0.667</v>
      </c>
      <c r="M3135" t="n">
        <v>0.333</v>
      </c>
    </row>
    <row r="3136" spans="1:13">
      <c r="A3136" s="1">
        <f>HYPERLINK("http://www.twitter.com/NathanBLawrence/status/986805975792283648", "986805975792283648")</f>
        <v/>
      </c>
      <c r="B3136" s="2" t="n">
        <v>43209.1371875</v>
      </c>
      <c r="C3136" t="n">
        <v>0</v>
      </c>
      <c r="D3136" t="n">
        <v>8449</v>
      </c>
      <c r="E3136" t="s">
        <v>3136</v>
      </c>
      <c r="F3136">
        <f>HYPERLINK("https://video.twimg.com/amplify_video/986771506809028609/vid/1280x720/SFmGO9IYMaWvgo1Z.mp4?tag=2", "https://video.twimg.com/amplify_video/986771506809028609/vid/1280x720/SFmGO9IYMaWvgo1Z.mp4?tag=2")</f>
        <v/>
      </c>
      <c r="G3136" t="s"/>
      <c r="H3136" t="s"/>
      <c r="I3136" t="s"/>
      <c r="J3136" t="n">
        <v>0.7269</v>
      </c>
      <c r="K3136" t="n">
        <v>0</v>
      </c>
      <c r="L3136" t="n">
        <v>0.679</v>
      </c>
      <c r="M3136" t="n">
        <v>0.321</v>
      </c>
    </row>
    <row r="3137" spans="1:13">
      <c r="A3137" s="1">
        <f>HYPERLINK("http://www.twitter.com/NathanBLawrence/status/986805869659668480", "986805869659668480")</f>
        <v/>
      </c>
      <c r="B3137" s="2" t="n">
        <v>43209.13688657407</v>
      </c>
      <c r="C3137" t="n">
        <v>0</v>
      </c>
      <c r="D3137" t="n">
        <v>12575</v>
      </c>
      <c r="E3137" t="s">
        <v>3137</v>
      </c>
      <c r="F3137">
        <f>HYPERLINK("http://pbs.twimg.com/media/DbGH5_lVMAAafjk.jpg", "http://pbs.twimg.com/media/DbGH5_lVMAAafjk.jpg")</f>
        <v/>
      </c>
      <c r="G3137">
        <f>HYPERLINK("http://pbs.twimg.com/media/DbGH5_pUQAAQ9AY.jpg", "http://pbs.twimg.com/media/DbGH5_pUQAAQ9AY.jpg")</f>
        <v/>
      </c>
      <c r="H3137">
        <f>HYPERLINK("http://pbs.twimg.com/media/DbGH5_mVwAAEjAn.jpg", "http://pbs.twimg.com/media/DbGH5_mVwAAEjAn.jpg")</f>
        <v/>
      </c>
      <c r="I3137">
        <f>HYPERLINK("http://pbs.twimg.com/media/DbGH5_lV4AAtePt.jpg", "http://pbs.twimg.com/media/DbGH5_lV4AAtePt.jpg")</f>
        <v/>
      </c>
      <c r="J3137" t="n">
        <v>0.6588000000000001</v>
      </c>
      <c r="K3137" t="n">
        <v>0</v>
      </c>
      <c r="L3137" t="n">
        <v>0.732</v>
      </c>
      <c r="M3137" t="n">
        <v>0.268</v>
      </c>
    </row>
    <row r="3138" spans="1:13">
      <c r="A3138" s="1">
        <f>HYPERLINK("http://www.twitter.com/NathanBLawrence/status/986805616726298624", "986805616726298624")</f>
        <v/>
      </c>
      <c r="B3138" s="2" t="n">
        <v>43209.13619212963</v>
      </c>
      <c r="C3138" t="n">
        <v>0</v>
      </c>
      <c r="D3138" t="n">
        <v>15201</v>
      </c>
      <c r="E3138" t="s">
        <v>3138</v>
      </c>
      <c r="F3138">
        <f>HYPERLINK("http://pbs.twimg.com/media/DbGAJeoVQAABeuv.jpg", "http://pbs.twimg.com/media/DbGAJeoVQAABeuv.jpg")</f>
        <v/>
      </c>
      <c r="G3138" t="s"/>
      <c r="H3138" t="s"/>
      <c r="I3138" t="s"/>
      <c r="J3138" t="n">
        <v>0.4404</v>
      </c>
      <c r="K3138" t="n">
        <v>0</v>
      </c>
      <c r="L3138" t="n">
        <v>0.868</v>
      </c>
      <c r="M3138" t="n">
        <v>0.132</v>
      </c>
    </row>
    <row r="3139" spans="1:13">
      <c r="A3139" s="1">
        <f>HYPERLINK("http://www.twitter.com/NathanBLawrence/status/986805287653801984", "986805287653801984")</f>
        <v/>
      </c>
      <c r="B3139" s="2" t="n">
        <v>43209.13528935185</v>
      </c>
      <c r="C3139" t="n">
        <v>0</v>
      </c>
      <c r="D3139" t="n">
        <v>67</v>
      </c>
      <c r="E3139" t="s">
        <v>3139</v>
      </c>
      <c r="F3139">
        <f>HYPERLINK("http://pbs.twimg.com/media/DayDMPFW4AABK_k.jpg", "http://pbs.twimg.com/media/DayDMPFW4AABK_k.jpg")</f>
        <v/>
      </c>
      <c r="G3139" t="s"/>
      <c r="H3139" t="s"/>
      <c r="I3139" t="s"/>
      <c r="J3139" t="n">
        <v>-0.5106000000000001</v>
      </c>
      <c r="K3139" t="n">
        <v>0.134</v>
      </c>
      <c r="L3139" t="n">
        <v>0.8179999999999999</v>
      </c>
      <c r="M3139" t="n">
        <v>0.048</v>
      </c>
    </row>
    <row r="3140" spans="1:13">
      <c r="A3140" s="1">
        <f>HYPERLINK("http://www.twitter.com/NathanBLawrence/status/986805068010631168", "986805068010631168")</f>
        <v/>
      </c>
      <c r="B3140" s="2" t="n">
        <v>43209.13467592592</v>
      </c>
      <c r="C3140" t="n">
        <v>0</v>
      </c>
      <c r="D3140" t="n">
        <v>2290</v>
      </c>
      <c r="E3140" t="s">
        <v>3140</v>
      </c>
      <c r="F3140" t="s"/>
      <c r="G3140" t="s"/>
      <c r="H3140" t="s"/>
      <c r="I3140" t="s"/>
      <c r="J3140" t="n">
        <v>0</v>
      </c>
      <c r="K3140" t="n">
        <v>0</v>
      </c>
      <c r="L3140" t="n">
        <v>1</v>
      </c>
      <c r="M3140" t="n">
        <v>0</v>
      </c>
    </row>
    <row r="3141" spans="1:13">
      <c r="A3141" s="1">
        <f>HYPERLINK("http://www.twitter.com/NathanBLawrence/status/986804970413441024", "986804970413441024")</f>
        <v/>
      </c>
      <c r="B3141" s="2" t="n">
        <v>43209.13440972222</v>
      </c>
      <c r="C3141" t="n">
        <v>0</v>
      </c>
      <c r="D3141" t="n">
        <v>43</v>
      </c>
      <c r="E3141" t="s">
        <v>3141</v>
      </c>
      <c r="F3141" t="s"/>
      <c r="G3141" t="s"/>
      <c r="H3141" t="s"/>
      <c r="I3141" t="s"/>
      <c r="J3141" t="n">
        <v>-0.6103</v>
      </c>
      <c r="K3141" t="n">
        <v>0.19</v>
      </c>
      <c r="L3141" t="n">
        <v>0.8100000000000001</v>
      </c>
      <c r="M3141" t="n">
        <v>0</v>
      </c>
    </row>
    <row r="3142" spans="1:13">
      <c r="A3142" s="1">
        <f>HYPERLINK("http://www.twitter.com/NathanBLawrence/status/986804885801680896", "986804885801680896")</f>
        <v/>
      </c>
      <c r="B3142" s="2" t="n">
        <v>43209.13417824074</v>
      </c>
      <c r="C3142" t="n">
        <v>0</v>
      </c>
      <c r="D3142" t="n">
        <v>865</v>
      </c>
      <c r="E3142" t="s">
        <v>3142</v>
      </c>
      <c r="F3142" t="s"/>
      <c r="G3142" t="s"/>
      <c r="H3142" t="s"/>
      <c r="I3142" t="s"/>
      <c r="J3142" t="n">
        <v>-0.4215</v>
      </c>
      <c r="K3142" t="n">
        <v>0.223</v>
      </c>
      <c r="L3142" t="n">
        <v>0.672</v>
      </c>
      <c r="M3142" t="n">
        <v>0.105</v>
      </c>
    </row>
    <row r="3143" spans="1:13">
      <c r="A3143" s="1">
        <f>HYPERLINK("http://www.twitter.com/NathanBLawrence/status/986804826070597632", "986804826070597632")</f>
        <v/>
      </c>
      <c r="B3143" s="2" t="n">
        <v>43209.1340162037</v>
      </c>
      <c r="C3143" t="n">
        <v>0</v>
      </c>
      <c r="D3143" t="n">
        <v>907</v>
      </c>
      <c r="E3143" t="s">
        <v>3143</v>
      </c>
      <c r="F3143">
        <f>HYPERLINK("http://pbs.twimg.com/media/DbGzQT7U8AAPF_s.jpg", "http://pbs.twimg.com/media/DbGzQT7U8AAPF_s.jpg")</f>
        <v/>
      </c>
      <c r="G3143" t="s"/>
      <c r="H3143" t="s"/>
      <c r="I3143" t="s"/>
      <c r="J3143" t="n">
        <v>-0.6833</v>
      </c>
      <c r="K3143" t="n">
        <v>0.224</v>
      </c>
      <c r="L3143" t="n">
        <v>0.776</v>
      </c>
      <c r="M3143" t="n">
        <v>0</v>
      </c>
    </row>
    <row r="3144" spans="1:13">
      <c r="A3144" s="1">
        <f>HYPERLINK("http://www.twitter.com/NathanBLawrence/status/986804661951709184", "986804661951709184")</f>
        <v/>
      </c>
      <c r="B3144" s="2" t="n">
        <v>43209.13356481482</v>
      </c>
      <c r="C3144" t="n">
        <v>0</v>
      </c>
      <c r="D3144" t="n">
        <v>280</v>
      </c>
      <c r="E3144" t="s">
        <v>3144</v>
      </c>
      <c r="F3144" t="s"/>
      <c r="G3144" t="s"/>
      <c r="H3144" t="s"/>
      <c r="I3144" t="s"/>
      <c r="J3144" t="n">
        <v>0</v>
      </c>
      <c r="K3144" t="n">
        <v>0</v>
      </c>
      <c r="L3144" t="n">
        <v>1</v>
      </c>
      <c r="M3144" t="n">
        <v>0</v>
      </c>
    </row>
    <row r="3145" spans="1:13">
      <c r="A3145" s="1">
        <f>HYPERLINK("http://www.twitter.com/NathanBLawrence/status/986804535757688832", "986804535757688832")</f>
        <v/>
      </c>
      <c r="B3145" s="2" t="n">
        <v>43209.13320601852</v>
      </c>
      <c r="C3145" t="n">
        <v>0</v>
      </c>
      <c r="D3145" t="n">
        <v>831</v>
      </c>
      <c r="E3145" t="s">
        <v>3145</v>
      </c>
      <c r="F3145" t="s"/>
      <c r="G3145" t="s"/>
      <c r="H3145" t="s"/>
      <c r="I3145" t="s"/>
      <c r="J3145" t="n">
        <v>0</v>
      </c>
      <c r="K3145" t="n">
        <v>0</v>
      </c>
      <c r="L3145" t="n">
        <v>1</v>
      </c>
      <c r="M3145" t="n">
        <v>0</v>
      </c>
    </row>
    <row r="3146" spans="1:13">
      <c r="A3146" s="1">
        <f>HYPERLINK("http://www.twitter.com/NathanBLawrence/status/986803650033938432", "986803650033938432")</f>
        <v/>
      </c>
      <c r="B3146" s="2" t="n">
        <v>43209.13076388889</v>
      </c>
      <c r="C3146" t="n">
        <v>0</v>
      </c>
      <c r="D3146" t="n">
        <v>1120</v>
      </c>
      <c r="E3146" t="s">
        <v>3146</v>
      </c>
      <c r="F3146">
        <f>HYPERLINK("http://pbs.twimg.com/media/DbGjTi9V4AA4X0n.jpg", "http://pbs.twimg.com/media/DbGjTi9V4AA4X0n.jpg")</f>
        <v/>
      </c>
      <c r="G3146">
        <f>HYPERLINK("http://pbs.twimg.com/media/DbGjT2JVMAAfcHw.jpg", "http://pbs.twimg.com/media/DbGjT2JVMAAfcHw.jpg")</f>
        <v/>
      </c>
      <c r="H3146">
        <f>HYPERLINK("http://pbs.twimg.com/media/DbGjUO4UMAADaYg.jpg", "http://pbs.twimg.com/media/DbGjUO4UMAADaYg.jpg")</f>
        <v/>
      </c>
      <c r="I3146">
        <f>HYPERLINK("http://pbs.twimg.com/media/DbGjUhbUQAA3jK2.jpg", "http://pbs.twimg.com/media/DbGjUhbUQAA3jK2.jpg")</f>
        <v/>
      </c>
      <c r="J3146" t="n">
        <v>0.5266999999999999</v>
      </c>
      <c r="K3146" t="n">
        <v>0</v>
      </c>
      <c r="L3146" t="n">
        <v>0.866</v>
      </c>
      <c r="M3146" t="n">
        <v>0.134</v>
      </c>
    </row>
    <row r="3147" spans="1:13">
      <c r="A3147" s="1">
        <f>HYPERLINK("http://www.twitter.com/NathanBLawrence/status/986803487647285248", "986803487647285248")</f>
        <v/>
      </c>
      <c r="B3147" s="2" t="n">
        <v>43209.13032407407</v>
      </c>
      <c r="C3147" t="n">
        <v>0</v>
      </c>
      <c r="D3147" t="n">
        <v>199</v>
      </c>
      <c r="E3147" t="s">
        <v>3147</v>
      </c>
      <c r="F3147" t="s"/>
      <c r="G3147" t="s"/>
      <c r="H3147" t="s"/>
      <c r="I3147" t="s"/>
      <c r="J3147" t="n">
        <v>-0.2585</v>
      </c>
      <c r="K3147" t="n">
        <v>0.157</v>
      </c>
      <c r="L3147" t="n">
        <v>0.753</v>
      </c>
      <c r="M3147" t="n">
        <v>0.09</v>
      </c>
    </row>
    <row r="3148" spans="1:13">
      <c r="A3148" s="1">
        <f>HYPERLINK("http://www.twitter.com/NathanBLawrence/status/986801658372898816", "986801658372898816")</f>
        <v/>
      </c>
      <c r="B3148" s="2" t="n">
        <v>43209.1252662037</v>
      </c>
      <c r="C3148" t="n">
        <v>0</v>
      </c>
      <c r="D3148" t="n">
        <v>713</v>
      </c>
      <c r="E3148" t="s">
        <v>3148</v>
      </c>
      <c r="F3148">
        <f>HYPERLINK("http://pbs.twimg.com/media/DbGnCR1X4AA7qmu.jpg", "http://pbs.twimg.com/media/DbGnCR1X4AA7qmu.jpg")</f>
        <v/>
      </c>
      <c r="G3148">
        <f>HYPERLINK("http://pbs.twimg.com/media/DbGnCR5WAAAXd5a.jpg", "http://pbs.twimg.com/media/DbGnCR5WAAAXd5a.jpg")</f>
        <v/>
      </c>
      <c r="H3148" t="s"/>
      <c r="I3148" t="s"/>
      <c r="J3148" t="n">
        <v>0.34</v>
      </c>
      <c r="K3148" t="n">
        <v>0</v>
      </c>
      <c r="L3148" t="n">
        <v>0.921</v>
      </c>
      <c r="M3148" t="n">
        <v>0.079</v>
      </c>
    </row>
    <row r="3149" spans="1:13">
      <c r="A3149" s="1">
        <f>HYPERLINK("http://www.twitter.com/NathanBLawrence/status/986800967411580929", "986800967411580929")</f>
        <v/>
      </c>
      <c r="B3149" s="2" t="n">
        <v>43209.12336805555</v>
      </c>
      <c r="C3149" t="n">
        <v>0</v>
      </c>
      <c r="D3149" t="n">
        <v>674</v>
      </c>
      <c r="E3149" t="s">
        <v>3149</v>
      </c>
      <c r="F3149" t="s"/>
      <c r="G3149" t="s"/>
      <c r="H3149" t="s"/>
      <c r="I3149" t="s"/>
      <c r="J3149" t="n">
        <v>-0.0516</v>
      </c>
      <c r="K3149" t="n">
        <v>0.066</v>
      </c>
      <c r="L3149" t="n">
        <v>0.9340000000000001</v>
      </c>
      <c r="M3149" t="n">
        <v>0</v>
      </c>
    </row>
    <row r="3150" spans="1:13">
      <c r="A3150" s="1">
        <f>HYPERLINK("http://www.twitter.com/NathanBLawrence/status/986800886281191424", "986800886281191424")</f>
        <v/>
      </c>
      <c r="B3150" s="2" t="n">
        <v>43209.12313657408</v>
      </c>
      <c r="C3150" t="n">
        <v>0</v>
      </c>
      <c r="D3150" t="n">
        <v>2</v>
      </c>
      <c r="E3150" t="s">
        <v>3150</v>
      </c>
      <c r="F3150" t="s"/>
      <c r="G3150" t="s"/>
      <c r="H3150" t="s"/>
      <c r="I3150" t="s"/>
      <c r="J3150" t="n">
        <v>0.2023</v>
      </c>
      <c r="K3150" t="n">
        <v>0</v>
      </c>
      <c r="L3150" t="n">
        <v>0.904</v>
      </c>
      <c r="M3150" t="n">
        <v>0.096</v>
      </c>
    </row>
    <row r="3151" spans="1:13">
      <c r="A3151" s="1">
        <f>HYPERLINK("http://www.twitter.com/NathanBLawrence/status/986800258314219520", "986800258314219520")</f>
        <v/>
      </c>
      <c r="B3151" s="2" t="n">
        <v>43209.12141203704</v>
      </c>
      <c r="C3151" t="n">
        <v>4</v>
      </c>
      <c r="D3151" t="n">
        <v>2</v>
      </c>
      <c r="E3151" t="s">
        <v>3151</v>
      </c>
      <c r="F3151" t="s"/>
      <c r="G3151" t="s"/>
      <c r="H3151" t="s"/>
      <c r="I3151" t="s"/>
      <c r="J3151" t="n">
        <v>0.2023</v>
      </c>
      <c r="K3151" t="n">
        <v>0</v>
      </c>
      <c r="L3151" t="n">
        <v>0.948</v>
      </c>
      <c r="M3151" t="n">
        <v>0.052</v>
      </c>
    </row>
    <row r="3152" spans="1:13">
      <c r="A3152" s="1">
        <f>HYPERLINK("http://www.twitter.com/NathanBLawrence/status/986792129664962561", "986792129664962561")</f>
        <v/>
      </c>
      <c r="B3152" s="2" t="n">
        <v>43209.09898148148</v>
      </c>
      <c r="C3152" t="n">
        <v>0</v>
      </c>
      <c r="D3152" t="n">
        <v>2861</v>
      </c>
      <c r="E3152" t="s">
        <v>3152</v>
      </c>
      <c r="F3152" t="s"/>
      <c r="G3152" t="s"/>
      <c r="H3152" t="s"/>
      <c r="I3152" t="s"/>
      <c r="J3152" t="n">
        <v>0</v>
      </c>
      <c r="K3152" t="n">
        <v>0</v>
      </c>
      <c r="L3152" t="n">
        <v>1</v>
      </c>
      <c r="M3152" t="n">
        <v>0</v>
      </c>
    </row>
    <row r="3153" spans="1:13">
      <c r="A3153" s="1">
        <f>HYPERLINK("http://www.twitter.com/NathanBLawrence/status/986792027860877312", "986792027860877312")</f>
        <v/>
      </c>
      <c r="B3153" s="2" t="n">
        <v>43209.09869212963</v>
      </c>
      <c r="C3153" t="n">
        <v>1</v>
      </c>
      <c r="D3153" t="n">
        <v>0</v>
      </c>
      <c r="E3153" t="s">
        <v>3153</v>
      </c>
      <c r="F3153" t="s"/>
      <c r="G3153" t="s"/>
      <c r="H3153" t="s"/>
      <c r="I3153" t="s"/>
      <c r="J3153" t="n">
        <v>-0.7096</v>
      </c>
      <c r="K3153" t="n">
        <v>0.196</v>
      </c>
      <c r="L3153" t="n">
        <v>0.705</v>
      </c>
      <c r="M3153" t="n">
        <v>0.1</v>
      </c>
    </row>
    <row r="3154" spans="1:13">
      <c r="A3154" s="1">
        <f>HYPERLINK("http://www.twitter.com/NathanBLawrence/status/986785432485507072", "986785432485507072")</f>
        <v/>
      </c>
      <c r="B3154" s="2" t="n">
        <v>43209.08049768519</v>
      </c>
      <c r="C3154" t="n">
        <v>0</v>
      </c>
      <c r="D3154" t="n">
        <v>591</v>
      </c>
      <c r="E3154" t="s">
        <v>3154</v>
      </c>
      <c r="F3154">
        <f>HYPERLINK("http://pbs.twimg.com/media/DbGvzx_XUAISrQc.jpg", "http://pbs.twimg.com/media/DbGvzx_XUAISrQc.jpg")</f>
        <v/>
      </c>
      <c r="G3154" t="s"/>
      <c r="H3154" t="s"/>
      <c r="I3154" t="s"/>
      <c r="J3154" t="n">
        <v>0</v>
      </c>
      <c r="K3154" t="n">
        <v>0</v>
      </c>
      <c r="L3154" t="n">
        <v>1</v>
      </c>
      <c r="M3154" t="n">
        <v>0</v>
      </c>
    </row>
    <row r="3155" spans="1:13">
      <c r="A3155" s="1">
        <f>HYPERLINK("http://www.twitter.com/NathanBLawrence/status/986785185311047681", "986785185311047681")</f>
        <v/>
      </c>
      <c r="B3155" s="2" t="n">
        <v>43209.07981481482</v>
      </c>
      <c r="C3155" t="n">
        <v>0</v>
      </c>
      <c r="D3155" t="n">
        <v>6831</v>
      </c>
      <c r="E3155" t="s">
        <v>3155</v>
      </c>
      <c r="F3155">
        <f>HYPERLINK("https://video.twimg.com/ext_tw_video/986759403994013697/pu/vid/1268x720/hyK9mifXaqWbGp5s.mp4?tag=3", "https://video.twimg.com/ext_tw_video/986759403994013697/pu/vid/1268x720/hyK9mifXaqWbGp5s.mp4?tag=3")</f>
        <v/>
      </c>
      <c r="G3155" t="s"/>
      <c r="H3155" t="s"/>
      <c r="I3155" t="s"/>
      <c r="J3155" t="n">
        <v>0.6581</v>
      </c>
      <c r="K3155" t="n">
        <v>0</v>
      </c>
      <c r="L3155" t="n">
        <v>0.8120000000000001</v>
      </c>
      <c r="M3155" t="n">
        <v>0.188</v>
      </c>
    </row>
    <row r="3156" spans="1:13">
      <c r="A3156" s="1">
        <f>HYPERLINK("http://www.twitter.com/NathanBLawrence/status/986784245094924288", "986784245094924288")</f>
        <v/>
      </c>
      <c r="B3156" s="2" t="n">
        <v>43209.07722222222</v>
      </c>
      <c r="C3156" t="n">
        <v>0</v>
      </c>
      <c r="D3156" t="n">
        <v>0</v>
      </c>
      <c r="E3156" t="s">
        <v>3156</v>
      </c>
      <c r="F3156" t="s"/>
      <c r="G3156" t="s"/>
      <c r="H3156" t="s"/>
      <c r="I3156" t="s"/>
      <c r="J3156" t="n">
        <v>0</v>
      </c>
      <c r="K3156" t="n">
        <v>0</v>
      </c>
      <c r="L3156" t="n">
        <v>1</v>
      </c>
      <c r="M3156" t="n">
        <v>0</v>
      </c>
    </row>
    <row r="3157" spans="1:13">
      <c r="A3157" s="1">
        <f>HYPERLINK("http://www.twitter.com/NathanBLawrence/status/986783947051814912", "986783947051814912")</f>
        <v/>
      </c>
      <c r="B3157" s="2" t="n">
        <v>43209.07640046296</v>
      </c>
      <c r="C3157" t="n">
        <v>0</v>
      </c>
      <c r="D3157" t="n">
        <v>2349</v>
      </c>
      <c r="E3157" t="s">
        <v>3157</v>
      </c>
      <c r="F3157" t="s"/>
      <c r="G3157" t="s"/>
      <c r="H3157" t="s"/>
      <c r="I3157" t="s"/>
      <c r="J3157" t="n">
        <v>-0.5266999999999999</v>
      </c>
      <c r="K3157" t="n">
        <v>0.139</v>
      </c>
      <c r="L3157" t="n">
        <v>0.861</v>
      </c>
      <c r="M3157" t="n">
        <v>0</v>
      </c>
    </row>
    <row r="3158" spans="1:13">
      <c r="A3158" s="1">
        <f>HYPERLINK("http://www.twitter.com/NathanBLawrence/status/986783836540354560", "986783836540354560")</f>
        <v/>
      </c>
      <c r="B3158" s="2" t="n">
        <v>43209.07608796296</v>
      </c>
      <c r="C3158" t="n">
        <v>0</v>
      </c>
      <c r="D3158" t="n">
        <v>2272</v>
      </c>
      <c r="E3158" t="s">
        <v>3158</v>
      </c>
      <c r="F3158" t="s"/>
      <c r="G3158" t="s"/>
      <c r="H3158" t="s"/>
      <c r="I3158" t="s"/>
      <c r="J3158" t="n">
        <v>0.7717000000000001</v>
      </c>
      <c r="K3158" t="n">
        <v>0</v>
      </c>
      <c r="L3158" t="n">
        <v>0.712</v>
      </c>
      <c r="M3158" t="n">
        <v>0.288</v>
      </c>
    </row>
    <row r="3159" spans="1:13">
      <c r="A3159" s="1">
        <f>HYPERLINK("http://www.twitter.com/NathanBLawrence/status/986782956944420864", "986782956944420864")</f>
        <v/>
      </c>
      <c r="B3159" s="2" t="n">
        <v>43209.07366898148</v>
      </c>
      <c r="C3159" t="n">
        <v>0</v>
      </c>
      <c r="D3159" t="n">
        <v>585</v>
      </c>
      <c r="E3159" t="s">
        <v>3159</v>
      </c>
      <c r="F3159">
        <f>HYPERLINK("http://pbs.twimg.com/media/DbGvUvNVMAAlgXm.jpg", "http://pbs.twimg.com/media/DbGvUvNVMAAlgXm.jpg")</f>
        <v/>
      </c>
      <c r="G3159" t="s"/>
      <c r="H3159" t="s"/>
      <c r="I3159" t="s"/>
      <c r="J3159" t="n">
        <v>0.8834</v>
      </c>
      <c r="K3159" t="n">
        <v>0</v>
      </c>
      <c r="L3159" t="n">
        <v>0.66</v>
      </c>
      <c r="M3159" t="n">
        <v>0.34</v>
      </c>
    </row>
    <row r="3160" spans="1:13">
      <c r="A3160" s="1">
        <f>HYPERLINK("http://www.twitter.com/NathanBLawrence/status/986782726035406848", "986782726035406848")</f>
        <v/>
      </c>
      <c r="B3160" s="2" t="n">
        <v>43209.07303240741</v>
      </c>
      <c r="C3160" t="n">
        <v>0</v>
      </c>
      <c r="D3160" t="n">
        <v>4968</v>
      </c>
      <c r="E3160" t="s">
        <v>3160</v>
      </c>
      <c r="F3160" t="s"/>
      <c r="G3160" t="s"/>
      <c r="H3160" t="s"/>
      <c r="I3160" t="s"/>
      <c r="J3160" t="n">
        <v>-0.7184</v>
      </c>
      <c r="K3160" t="n">
        <v>0.259</v>
      </c>
      <c r="L3160" t="n">
        <v>0.741</v>
      </c>
      <c r="M3160" t="n">
        <v>0</v>
      </c>
    </row>
    <row r="3161" spans="1:13">
      <c r="A3161" s="1">
        <f>HYPERLINK("http://www.twitter.com/NathanBLawrence/status/986782397546074112", "986782397546074112")</f>
        <v/>
      </c>
      <c r="B3161" s="2" t="n">
        <v>43209.07211805556</v>
      </c>
      <c r="C3161" t="n">
        <v>0</v>
      </c>
      <c r="D3161" t="n">
        <v>0</v>
      </c>
      <c r="E3161" t="s">
        <v>3161</v>
      </c>
      <c r="F3161" t="s"/>
      <c r="G3161" t="s"/>
      <c r="H3161" t="s"/>
      <c r="I3161" t="s"/>
      <c r="J3161" t="n">
        <v>-0.4019</v>
      </c>
      <c r="K3161" t="n">
        <v>0.197</v>
      </c>
      <c r="L3161" t="n">
        <v>0.803</v>
      </c>
      <c r="M3161" t="n">
        <v>0</v>
      </c>
    </row>
    <row r="3162" spans="1:13">
      <c r="A3162" s="1">
        <f>HYPERLINK("http://www.twitter.com/NathanBLawrence/status/986782285209808897", "986782285209808897")</f>
        <v/>
      </c>
      <c r="B3162" s="2" t="n">
        <v>43209.07180555556</v>
      </c>
      <c r="C3162" t="n">
        <v>1</v>
      </c>
      <c r="D3162" t="n">
        <v>1</v>
      </c>
      <c r="E3162" t="s">
        <v>3162</v>
      </c>
      <c r="F3162" t="s"/>
      <c r="G3162" t="s"/>
      <c r="H3162" t="s"/>
      <c r="I3162" t="s"/>
      <c r="J3162" t="n">
        <v>-0.4019</v>
      </c>
      <c r="K3162" t="n">
        <v>0.119</v>
      </c>
      <c r="L3162" t="n">
        <v>0.881</v>
      </c>
      <c r="M3162" t="n">
        <v>0</v>
      </c>
    </row>
    <row r="3163" spans="1:13">
      <c r="A3163" s="1">
        <f>HYPERLINK("http://www.twitter.com/NathanBLawrence/status/986775726530506752", "986775726530506752")</f>
        <v/>
      </c>
      <c r="B3163" s="2" t="n">
        <v>43209.05371527778</v>
      </c>
      <c r="C3163" t="n">
        <v>0</v>
      </c>
      <c r="D3163" t="n">
        <v>6</v>
      </c>
      <c r="E3163" t="s">
        <v>3163</v>
      </c>
      <c r="F3163" t="s"/>
      <c r="G3163" t="s"/>
      <c r="H3163" t="s"/>
      <c r="I3163" t="s"/>
      <c r="J3163" t="n">
        <v>-0.5904</v>
      </c>
      <c r="K3163" t="n">
        <v>0.143</v>
      </c>
      <c r="L3163" t="n">
        <v>0.857</v>
      </c>
      <c r="M3163" t="n">
        <v>0</v>
      </c>
    </row>
    <row r="3164" spans="1:13">
      <c r="A3164" s="1">
        <f>HYPERLINK("http://www.twitter.com/NathanBLawrence/status/986774469065625600", "986774469065625600")</f>
        <v/>
      </c>
      <c r="B3164" s="2" t="n">
        <v>43209.05024305556</v>
      </c>
      <c r="C3164" t="n">
        <v>0</v>
      </c>
      <c r="D3164" t="n">
        <v>3048</v>
      </c>
      <c r="E3164" t="s">
        <v>3164</v>
      </c>
      <c r="F3164" t="s"/>
      <c r="G3164" t="s"/>
      <c r="H3164" t="s"/>
      <c r="I3164" t="s"/>
      <c r="J3164" t="n">
        <v>-0.5266999999999999</v>
      </c>
      <c r="K3164" t="n">
        <v>0.139</v>
      </c>
      <c r="L3164" t="n">
        <v>0.861</v>
      </c>
      <c r="M3164" t="n">
        <v>0</v>
      </c>
    </row>
    <row r="3165" spans="1:13">
      <c r="A3165" s="1">
        <f>HYPERLINK("http://www.twitter.com/NathanBLawrence/status/986772667293290496", "986772667293290496")</f>
        <v/>
      </c>
      <c r="B3165" s="2" t="n">
        <v>43209.04526620371</v>
      </c>
      <c r="C3165" t="n">
        <v>3</v>
      </c>
      <c r="D3165" t="n">
        <v>2</v>
      </c>
      <c r="E3165" t="s">
        <v>3165</v>
      </c>
      <c r="F3165" t="s"/>
      <c r="G3165" t="s"/>
      <c r="H3165" t="s"/>
      <c r="I3165" t="s"/>
      <c r="J3165" t="n">
        <v>0.6369</v>
      </c>
      <c r="K3165" t="n">
        <v>0</v>
      </c>
      <c r="L3165" t="n">
        <v>0.819</v>
      </c>
      <c r="M3165" t="n">
        <v>0.181</v>
      </c>
    </row>
    <row r="3166" spans="1:13">
      <c r="A3166" s="1">
        <f>HYPERLINK("http://www.twitter.com/NathanBLawrence/status/986753387977834497", "986753387977834497")</f>
        <v/>
      </c>
      <c r="B3166" s="2" t="n">
        <v>43208.99207175926</v>
      </c>
      <c r="C3166" t="n">
        <v>11</v>
      </c>
      <c r="D3166" t="n">
        <v>6</v>
      </c>
      <c r="E3166" t="s">
        <v>3166</v>
      </c>
      <c r="F3166" t="s"/>
      <c r="G3166" t="s"/>
      <c r="H3166" t="s"/>
      <c r="I3166" t="s"/>
      <c r="J3166" t="n">
        <v>-0.2732</v>
      </c>
      <c r="K3166" t="n">
        <v>0.147</v>
      </c>
      <c r="L3166" t="n">
        <v>0.763</v>
      </c>
      <c r="M3166" t="n">
        <v>0.09</v>
      </c>
    </row>
    <row r="3167" spans="1:13">
      <c r="A3167" s="1">
        <f>HYPERLINK("http://www.twitter.com/NathanBLawrence/status/986751685937676288", "986751685937676288")</f>
        <v/>
      </c>
      <c r="B3167" s="2" t="n">
        <v>43208.98737268519</v>
      </c>
      <c r="C3167" t="n">
        <v>3</v>
      </c>
      <c r="D3167" t="n">
        <v>0</v>
      </c>
      <c r="E3167" t="s">
        <v>3167</v>
      </c>
      <c r="F3167" t="s"/>
      <c r="G3167" t="s"/>
      <c r="H3167" t="s"/>
      <c r="I3167" t="s"/>
      <c r="J3167" t="n">
        <v>-0.826</v>
      </c>
      <c r="K3167" t="n">
        <v>0.252</v>
      </c>
      <c r="L3167" t="n">
        <v>0.666</v>
      </c>
      <c r="M3167" t="n">
        <v>0.082</v>
      </c>
    </row>
    <row r="3168" spans="1:13">
      <c r="A3168" s="1">
        <f>HYPERLINK("http://www.twitter.com/NathanBLawrence/status/986746811942551553", "986746811942551553")</f>
        <v/>
      </c>
      <c r="B3168" s="2" t="n">
        <v>43208.97392361111</v>
      </c>
      <c r="C3168" t="n">
        <v>5</v>
      </c>
      <c r="D3168" t="n">
        <v>3</v>
      </c>
      <c r="E3168" t="s">
        <v>3168</v>
      </c>
      <c r="F3168" t="s"/>
      <c r="G3168" t="s"/>
      <c r="H3168" t="s"/>
      <c r="I3168" t="s"/>
      <c r="J3168" t="n">
        <v>-0.7351</v>
      </c>
      <c r="K3168" t="n">
        <v>0.153</v>
      </c>
      <c r="L3168" t="n">
        <v>0.847</v>
      </c>
      <c r="M3168" t="n">
        <v>0</v>
      </c>
    </row>
    <row r="3169" spans="1:13">
      <c r="A3169" s="1">
        <f>HYPERLINK("http://www.twitter.com/NathanBLawrence/status/986745207721885696", "986745207721885696")</f>
        <v/>
      </c>
      <c r="B3169" s="2" t="n">
        <v>43208.96950231482</v>
      </c>
      <c r="C3169" t="n">
        <v>0</v>
      </c>
      <c r="D3169" t="n">
        <v>0</v>
      </c>
      <c r="E3169" t="s">
        <v>3169</v>
      </c>
      <c r="F3169" t="s"/>
      <c r="G3169" t="s"/>
      <c r="H3169" t="s"/>
      <c r="I3169" t="s"/>
      <c r="J3169" t="n">
        <v>-0.4588</v>
      </c>
      <c r="K3169" t="n">
        <v>0.076</v>
      </c>
      <c r="L3169" t="n">
        <v>0.901</v>
      </c>
      <c r="M3169" t="n">
        <v>0.023</v>
      </c>
    </row>
    <row r="3170" spans="1:13">
      <c r="A3170" s="1">
        <f>HYPERLINK("http://www.twitter.com/NathanBLawrence/status/986735635170902016", "986735635170902016")</f>
        <v/>
      </c>
      <c r="B3170" s="2" t="n">
        <v>43208.94307870371</v>
      </c>
      <c r="C3170" t="n">
        <v>0</v>
      </c>
      <c r="D3170" t="n">
        <v>551</v>
      </c>
      <c r="E3170" t="s">
        <v>3170</v>
      </c>
      <c r="F3170">
        <f>HYPERLINK("http://pbs.twimg.com/media/DbFMJXqWsAAqI6B.jpg", "http://pbs.twimg.com/media/DbFMJXqWsAAqI6B.jpg")</f>
        <v/>
      </c>
      <c r="G3170" t="s"/>
      <c r="H3170" t="s"/>
      <c r="I3170" t="s"/>
      <c r="J3170" t="n">
        <v>0</v>
      </c>
      <c r="K3170" t="n">
        <v>0</v>
      </c>
      <c r="L3170" t="n">
        <v>1</v>
      </c>
      <c r="M3170" t="n">
        <v>0</v>
      </c>
    </row>
    <row r="3171" spans="1:13">
      <c r="A3171" s="1">
        <f>HYPERLINK("http://www.twitter.com/NathanBLawrence/status/986735415141982208", "986735415141982208")</f>
        <v/>
      </c>
      <c r="B3171" s="2" t="n">
        <v>43208.94247685185</v>
      </c>
      <c r="C3171" t="n">
        <v>0</v>
      </c>
      <c r="D3171" t="n">
        <v>535</v>
      </c>
      <c r="E3171" t="s">
        <v>3171</v>
      </c>
      <c r="F3171" t="s"/>
      <c r="G3171" t="s"/>
      <c r="H3171" t="s"/>
      <c r="I3171" t="s"/>
      <c r="J3171" t="n">
        <v>0.0757</v>
      </c>
      <c r="K3171" t="n">
        <v>0.158</v>
      </c>
      <c r="L3171" t="n">
        <v>0.673</v>
      </c>
      <c r="M3171" t="n">
        <v>0.168</v>
      </c>
    </row>
    <row r="3172" spans="1:13">
      <c r="A3172" s="1">
        <f>HYPERLINK("http://www.twitter.com/NathanBLawrence/status/986735326809899008", "986735326809899008")</f>
        <v/>
      </c>
      <c r="B3172" s="2" t="n">
        <v>43208.9422337963</v>
      </c>
      <c r="C3172" t="n">
        <v>16</v>
      </c>
      <c r="D3172" t="n">
        <v>11</v>
      </c>
      <c r="E3172" t="s">
        <v>3172</v>
      </c>
      <c r="F3172" t="s"/>
      <c r="G3172" t="s"/>
      <c r="H3172" t="s"/>
      <c r="I3172" t="s"/>
      <c r="J3172" t="n">
        <v>0</v>
      </c>
      <c r="K3172" t="n">
        <v>0</v>
      </c>
      <c r="L3172" t="n">
        <v>1</v>
      </c>
      <c r="M3172" t="n">
        <v>0</v>
      </c>
    </row>
    <row r="3173" spans="1:13">
      <c r="A3173" s="1">
        <f>HYPERLINK("http://www.twitter.com/NathanBLawrence/status/986688809642344448", "986688809642344448")</f>
        <v/>
      </c>
      <c r="B3173" s="2" t="n">
        <v>43208.81386574074</v>
      </c>
      <c r="C3173" t="n">
        <v>3</v>
      </c>
      <c r="D3173" t="n">
        <v>1</v>
      </c>
      <c r="E3173" t="s">
        <v>3173</v>
      </c>
      <c r="F3173" t="s"/>
      <c r="G3173" t="s"/>
      <c r="H3173" t="s"/>
      <c r="I3173" t="s"/>
      <c r="J3173" t="n">
        <v>-0.296</v>
      </c>
      <c r="K3173" t="n">
        <v>0.118</v>
      </c>
      <c r="L3173" t="n">
        <v>0.882</v>
      </c>
      <c r="M3173" t="n">
        <v>0</v>
      </c>
    </row>
    <row r="3174" spans="1:13">
      <c r="A3174" s="1">
        <f>HYPERLINK("http://www.twitter.com/NathanBLawrence/status/986688453822722048", "986688453822722048")</f>
        <v/>
      </c>
      <c r="B3174" s="2" t="n">
        <v>43208.81288194445</v>
      </c>
      <c r="C3174" t="n">
        <v>0</v>
      </c>
      <c r="D3174" t="n">
        <v>515</v>
      </c>
      <c r="E3174" t="s">
        <v>3174</v>
      </c>
      <c r="F3174" t="s"/>
      <c r="G3174" t="s"/>
      <c r="H3174" t="s"/>
      <c r="I3174" t="s"/>
      <c r="J3174" t="n">
        <v>0.4926</v>
      </c>
      <c r="K3174" t="n">
        <v>0</v>
      </c>
      <c r="L3174" t="n">
        <v>0.803</v>
      </c>
      <c r="M3174" t="n">
        <v>0.197</v>
      </c>
    </row>
    <row r="3175" spans="1:13">
      <c r="A3175" s="1">
        <f>HYPERLINK("http://www.twitter.com/NathanBLawrence/status/986687724382928896", "986687724382928896")</f>
        <v/>
      </c>
      <c r="B3175" s="2" t="n">
        <v>43208.81086805555</v>
      </c>
      <c r="C3175" t="n">
        <v>0</v>
      </c>
      <c r="D3175" t="n">
        <v>7</v>
      </c>
      <c r="E3175" t="s">
        <v>3175</v>
      </c>
      <c r="F3175" t="s"/>
      <c r="G3175" t="s"/>
      <c r="H3175" t="s"/>
      <c r="I3175" t="s"/>
      <c r="J3175" t="n">
        <v>-0.296</v>
      </c>
      <c r="K3175" t="n">
        <v>0.144</v>
      </c>
      <c r="L3175" t="n">
        <v>0.856</v>
      </c>
      <c r="M3175" t="n">
        <v>0</v>
      </c>
    </row>
    <row r="3176" spans="1:13">
      <c r="A3176" s="1">
        <f>HYPERLINK("http://www.twitter.com/NathanBLawrence/status/986687676043542528", "986687676043542528")</f>
        <v/>
      </c>
      <c r="B3176" s="2" t="n">
        <v>43208.81074074074</v>
      </c>
      <c r="C3176" t="n">
        <v>7</v>
      </c>
      <c r="D3176" t="n">
        <v>7</v>
      </c>
      <c r="E3176" t="s">
        <v>3176</v>
      </c>
      <c r="F3176" t="s"/>
      <c r="G3176" t="s"/>
      <c r="H3176" t="s"/>
      <c r="I3176" t="s"/>
      <c r="J3176" t="n">
        <v>-0.296</v>
      </c>
      <c r="K3176" t="n">
        <v>0.118</v>
      </c>
      <c r="L3176" t="n">
        <v>0.882</v>
      </c>
      <c r="M3176" t="n">
        <v>0</v>
      </c>
    </row>
    <row r="3177" spans="1:13">
      <c r="A3177" s="1">
        <f>HYPERLINK("http://www.twitter.com/NathanBLawrence/status/986686736947265536", "986686736947265536")</f>
        <v/>
      </c>
      <c r="B3177" s="2" t="n">
        <v>43208.80814814815</v>
      </c>
      <c r="C3177" t="n">
        <v>0</v>
      </c>
      <c r="D3177" t="n">
        <v>939</v>
      </c>
      <c r="E3177" t="s">
        <v>3177</v>
      </c>
      <c r="F3177" t="s"/>
      <c r="G3177" t="s"/>
      <c r="H3177" t="s"/>
      <c r="I3177" t="s"/>
      <c r="J3177" t="n">
        <v>0</v>
      </c>
      <c r="K3177" t="n">
        <v>0</v>
      </c>
      <c r="L3177" t="n">
        <v>1</v>
      </c>
      <c r="M3177" t="n">
        <v>0</v>
      </c>
    </row>
    <row r="3178" spans="1:13">
      <c r="A3178" s="1">
        <f>HYPERLINK("http://www.twitter.com/NathanBLawrence/status/986686621574610944", "986686621574610944")</f>
        <v/>
      </c>
      <c r="B3178" s="2" t="n">
        <v>43208.80782407407</v>
      </c>
      <c r="C3178" t="n">
        <v>0</v>
      </c>
      <c r="D3178" t="n">
        <v>1458</v>
      </c>
      <c r="E3178" t="s">
        <v>3178</v>
      </c>
      <c r="F3178">
        <f>HYPERLINK("https://video.twimg.com/ext_tw_video/986628575070642176/pu/vid/360x640/mdDf3qsd27QwNLX8.mp4?tag=2", "https://video.twimg.com/ext_tw_video/986628575070642176/pu/vid/360x640/mdDf3qsd27QwNLX8.mp4?tag=2")</f>
        <v/>
      </c>
      <c r="G3178" t="s"/>
      <c r="H3178" t="s"/>
      <c r="I3178" t="s"/>
      <c r="J3178" t="n">
        <v>0.8225</v>
      </c>
      <c r="K3178" t="n">
        <v>0.097</v>
      </c>
      <c r="L3178" t="n">
        <v>0.5659999999999999</v>
      </c>
      <c r="M3178" t="n">
        <v>0.336</v>
      </c>
    </row>
    <row r="3179" spans="1:13">
      <c r="A3179" s="1">
        <f>HYPERLINK("http://www.twitter.com/NathanBLawrence/status/986686460718792704", "986686460718792704")</f>
        <v/>
      </c>
      <c r="B3179" s="2" t="n">
        <v>43208.80738425926</v>
      </c>
      <c r="C3179" t="n">
        <v>0</v>
      </c>
      <c r="D3179" t="n">
        <v>2224</v>
      </c>
      <c r="E3179" t="s">
        <v>3179</v>
      </c>
      <c r="F3179" t="s"/>
      <c r="G3179" t="s"/>
      <c r="H3179" t="s"/>
      <c r="I3179" t="s"/>
      <c r="J3179" t="n">
        <v>-0.7096</v>
      </c>
      <c r="K3179" t="n">
        <v>0.219</v>
      </c>
      <c r="L3179" t="n">
        <v>0.781</v>
      </c>
      <c r="M3179" t="n">
        <v>0</v>
      </c>
    </row>
    <row r="3180" spans="1:13">
      <c r="A3180" s="1">
        <f>HYPERLINK("http://www.twitter.com/NathanBLawrence/status/986663733614096384", "986663733614096384")</f>
        <v/>
      </c>
      <c r="B3180" s="2" t="n">
        <v>43208.74467592593</v>
      </c>
      <c r="C3180" t="n">
        <v>1</v>
      </c>
      <c r="D3180" t="n">
        <v>1</v>
      </c>
      <c r="E3180" t="s">
        <v>3180</v>
      </c>
      <c r="F3180" t="s"/>
      <c r="G3180" t="s"/>
      <c r="H3180" t="s"/>
      <c r="I3180" t="s"/>
      <c r="J3180" t="n">
        <v>-0.6705</v>
      </c>
      <c r="K3180" t="n">
        <v>0.36</v>
      </c>
      <c r="L3180" t="n">
        <v>0.64</v>
      </c>
      <c r="M3180" t="n">
        <v>0</v>
      </c>
    </row>
    <row r="3181" spans="1:13">
      <c r="A3181" s="1">
        <f>HYPERLINK("http://www.twitter.com/NathanBLawrence/status/986663621307453446", "986663621307453446")</f>
        <v/>
      </c>
      <c r="B3181" s="2" t="n">
        <v>43208.74436342593</v>
      </c>
      <c r="C3181" t="n">
        <v>0</v>
      </c>
      <c r="D3181" t="n">
        <v>521</v>
      </c>
      <c r="E3181" t="s">
        <v>3181</v>
      </c>
      <c r="F3181">
        <f>HYPERLINK("http://pbs.twimg.com/media/DbEu7YQWsAUjVAS.jpg", "http://pbs.twimg.com/media/DbEu7YQWsAUjVAS.jpg")</f>
        <v/>
      </c>
      <c r="G3181">
        <f>HYPERLINK("http://pbs.twimg.com/media/DbEu8ZWW0AAl_JZ.jpg", "http://pbs.twimg.com/media/DbEu8ZWW0AAl_JZ.jpg")</f>
        <v/>
      </c>
      <c r="H3181" t="s"/>
      <c r="I3181" t="s"/>
      <c r="J3181" t="n">
        <v>-0.3595</v>
      </c>
      <c r="K3181" t="n">
        <v>0.116</v>
      </c>
      <c r="L3181" t="n">
        <v>0.884</v>
      </c>
      <c r="M3181" t="n">
        <v>0</v>
      </c>
    </row>
    <row r="3182" spans="1:13">
      <c r="A3182" s="1">
        <f>HYPERLINK("http://www.twitter.com/NathanBLawrence/status/986662985983639552", "986662985983639552")</f>
        <v/>
      </c>
      <c r="B3182" s="2" t="n">
        <v>43208.74260416667</v>
      </c>
      <c r="C3182" t="n">
        <v>0</v>
      </c>
      <c r="D3182" t="n">
        <v>941</v>
      </c>
      <c r="E3182" t="s">
        <v>3182</v>
      </c>
      <c r="F3182">
        <f>HYPERLINK("http://pbs.twimg.com/media/DbEu-1qUQAALkgx.jpg", "http://pbs.twimg.com/media/DbEu-1qUQAALkgx.jpg")</f>
        <v/>
      </c>
      <c r="G3182" t="s"/>
      <c r="H3182" t="s"/>
      <c r="I3182" t="s"/>
      <c r="J3182" t="n">
        <v>-0.3182</v>
      </c>
      <c r="K3182" t="n">
        <v>0.166</v>
      </c>
      <c r="L3182" t="n">
        <v>0.732</v>
      </c>
      <c r="M3182" t="n">
        <v>0.102</v>
      </c>
    </row>
    <row r="3183" spans="1:13">
      <c r="A3183" s="1">
        <f>HYPERLINK("http://www.twitter.com/NathanBLawrence/status/986662936222445568", "986662936222445568")</f>
        <v/>
      </c>
      <c r="B3183" s="2" t="n">
        <v>43208.74246527778</v>
      </c>
      <c r="C3183" t="n">
        <v>0</v>
      </c>
      <c r="D3183" t="n">
        <v>2609</v>
      </c>
      <c r="E3183" t="s">
        <v>3183</v>
      </c>
      <c r="F3183" t="s"/>
      <c r="G3183" t="s"/>
      <c r="H3183" t="s"/>
      <c r="I3183" t="s"/>
      <c r="J3183" t="n">
        <v>-0.34</v>
      </c>
      <c r="K3183" t="n">
        <v>0.107</v>
      </c>
      <c r="L3183" t="n">
        <v>0.893</v>
      </c>
      <c r="M3183" t="n">
        <v>0</v>
      </c>
    </row>
    <row r="3184" spans="1:13">
      <c r="A3184" s="1">
        <f>HYPERLINK("http://www.twitter.com/NathanBLawrence/status/986656303878627333", "986656303878627333")</f>
        <v/>
      </c>
      <c r="B3184" s="2" t="n">
        <v>43208.72416666667</v>
      </c>
      <c r="C3184" t="n">
        <v>0</v>
      </c>
      <c r="D3184" t="n">
        <v>0</v>
      </c>
      <c r="E3184" t="s">
        <v>3184</v>
      </c>
      <c r="F3184" t="s"/>
      <c r="G3184" t="s"/>
      <c r="H3184" t="s"/>
      <c r="I3184" t="s"/>
      <c r="J3184" t="n">
        <v>-0.296</v>
      </c>
      <c r="K3184" t="n">
        <v>0.121</v>
      </c>
      <c r="L3184" t="n">
        <v>0.879</v>
      </c>
      <c r="M3184" t="n">
        <v>0</v>
      </c>
    </row>
    <row r="3185" spans="1:13">
      <c r="A3185" s="1">
        <f>HYPERLINK("http://www.twitter.com/NathanBLawrence/status/986656040568504322", "986656040568504322")</f>
        <v/>
      </c>
      <c r="B3185" s="2" t="n">
        <v>43208.7234375</v>
      </c>
      <c r="C3185" t="n">
        <v>0</v>
      </c>
      <c r="D3185" t="n">
        <v>0</v>
      </c>
      <c r="E3185" t="s">
        <v>3185</v>
      </c>
      <c r="F3185" t="s"/>
      <c r="G3185" t="s"/>
      <c r="H3185" t="s"/>
      <c r="I3185" t="s"/>
      <c r="J3185" t="n">
        <v>-0.296</v>
      </c>
      <c r="K3185" t="n">
        <v>0.121</v>
      </c>
      <c r="L3185" t="n">
        <v>0.879</v>
      </c>
      <c r="M3185" t="n">
        <v>0</v>
      </c>
    </row>
    <row r="3186" spans="1:13">
      <c r="A3186" s="1">
        <f>HYPERLINK("http://www.twitter.com/NathanBLawrence/status/986655413889187841", "986655413889187841")</f>
        <v/>
      </c>
      <c r="B3186" s="2" t="n">
        <v>43208.72171296296</v>
      </c>
      <c r="C3186" t="n">
        <v>0</v>
      </c>
      <c r="D3186" t="n">
        <v>9769</v>
      </c>
      <c r="E3186" t="s">
        <v>3186</v>
      </c>
      <c r="F3186" t="s"/>
      <c r="G3186" t="s"/>
      <c r="H3186" t="s"/>
      <c r="I3186" t="s"/>
      <c r="J3186" t="n">
        <v>0.3566</v>
      </c>
      <c r="K3186" t="n">
        <v>0</v>
      </c>
      <c r="L3186" t="n">
        <v>0.84</v>
      </c>
      <c r="M3186" t="n">
        <v>0.16</v>
      </c>
    </row>
    <row r="3187" spans="1:13">
      <c r="A3187" s="1">
        <f>HYPERLINK("http://www.twitter.com/NathanBLawrence/status/986655388110995456", "986655388110995456")</f>
        <v/>
      </c>
      <c r="B3187" s="2" t="n">
        <v>43208.72164351852</v>
      </c>
      <c r="C3187" t="n">
        <v>0</v>
      </c>
      <c r="D3187" t="n">
        <v>4395</v>
      </c>
      <c r="E3187" t="s">
        <v>3187</v>
      </c>
      <c r="F3187" t="s"/>
      <c r="G3187" t="s"/>
      <c r="H3187" t="s"/>
      <c r="I3187" t="s"/>
      <c r="J3187" t="n">
        <v>-0.765</v>
      </c>
      <c r="K3187" t="n">
        <v>0.268</v>
      </c>
      <c r="L3187" t="n">
        <v>0.732</v>
      </c>
      <c r="M3187" t="n">
        <v>0</v>
      </c>
    </row>
    <row r="3188" spans="1:13">
      <c r="A3188" s="1">
        <f>HYPERLINK("http://www.twitter.com/NathanBLawrence/status/986654671979741184", "986654671979741184")</f>
        <v/>
      </c>
      <c r="B3188" s="2" t="n">
        <v>43208.71966435185</v>
      </c>
      <c r="C3188" t="n">
        <v>4</v>
      </c>
      <c r="D3188" t="n">
        <v>3</v>
      </c>
      <c r="E3188" t="s">
        <v>3188</v>
      </c>
      <c r="F3188" t="s"/>
      <c r="G3188" t="s"/>
      <c r="H3188" t="s"/>
      <c r="I3188" t="s"/>
      <c r="J3188" t="n">
        <v>-0.7435</v>
      </c>
      <c r="K3188" t="n">
        <v>0.11</v>
      </c>
      <c r="L3188" t="n">
        <v>0.89</v>
      </c>
      <c r="M3188" t="n">
        <v>0</v>
      </c>
    </row>
    <row r="3189" spans="1:13">
      <c r="A3189" s="1">
        <f>HYPERLINK("http://www.twitter.com/NathanBLawrence/status/986653453215678464", "986653453215678464")</f>
        <v/>
      </c>
      <c r="B3189" s="2" t="n">
        <v>43208.71630787037</v>
      </c>
      <c r="C3189" t="n">
        <v>18</v>
      </c>
      <c r="D3189" t="n">
        <v>20</v>
      </c>
      <c r="E3189" t="s">
        <v>3189</v>
      </c>
      <c r="F3189" t="s"/>
      <c r="G3189" t="s"/>
      <c r="H3189" t="s"/>
      <c r="I3189" t="s"/>
      <c r="J3189" t="n">
        <v>0.4581</v>
      </c>
      <c r="K3189" t="n">
        <v>0.049</v>
      </c>
      <c r="L3189" t="n">
        <v>0.82</v>
      </c>
      <c r="M3189" t="n">
        <v>0.131</v>
      </c>
    </row>
    <row r="3190" spans="1:13">
      <c r="A3190" s="1">
        <f>HYPERLINK("http://www.twitter.com/NathanBLawrence/status/986652365217386496", "986652365217386496")</f>
        <v/>
      </c>
      <c r="B3190" s="2" t="n">
        <v>43208.71329861111</v>
      </c>
      <c r="C3190" t="n">
        <v>2</v>
      </c>
      <c r="D3190" t="n">
        <v>1</v>
      </c>
      <c r="E3190" t="s">
        <v>3190</v>
      </c>
      <c r="F3190" t="s"/>
      <c r="G3190" t="s"/>
      <c r="H3190" t="s"/>
      <c r="I3190" t="s"/>
      <c r="J3190" t="n">
        <v>-0.7783</v>
      </c>
      <c r="K3190" t="n">
        <v>0.174</v>
      </c>
      <c r="L3190" t="n">
        <v>0.826</v>
      </c>
      <c r="M3190" t="n">
        <v>0</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2018-05-08T06:29:32Z</dcterms:created>
  <dcterms:modified xmlns:dcterms="http://purl.org/dc/terms/" xmlns:xsi="http://www.w3.org/2001/XMLSchema-instance" xsi:type="dcterms:W3CDTF">2018-05-08T06:29:32Z</dcterms:modified>
</cp:coreProperties>
</file>