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bookViews>
  <sheets>
    <sheet xmlns:r="http://schemas.openxmlformats.org/officeDocument/2006/relationships" name="Sheet1" sheetId="1" state="visible" r:id="rId1"/>
  </sheets>
  <definedNames/>
  <calcPr calcId="124519" fullCalcOnLoad="1"/>
</workbook>
</file>

<file path=xl/sharedStrings.xml><?xml version="1.0" encoding="utf-8"?>
<sst xmlns="http://schemas.openxmlformats.org/spreadsheetml/2006/main" uniqueCount="3192">
  <si>
    <t>id</t>
  </si>
  <si>
    <t>created_at</t>
  </si>
  <si>
    <t>fav</t>
  </si>
  <si>
    <t>rt</t>
  </si>
  <si>
    <t>text</t>
  </si>
  <si>
    <t>media1</t>
  </si>
  <si>
    <t>media2</t>
  </si>
  <si>
    <t>media3</t>
  </si>
  <si>
    <t>media4</t>
  </si>
  <si>
    <t>compound</t>
  </si>
  <si>
    <t>neg</t>
  </si>
  <si>
    <t>neu</t>
  </si>
  <si>
    <t>pos</t>
  </si>
  <si>
    <t>RT @JW1057: @strmsptr @J_Hancock We got @EricGreitens back. Plus it seems from Facebook comments on KSDK page people are not believing Kitt…</t>
  </si>
  <si>
    <t>RT @MSTLGA: ITS NOT OK FOR YOU TO MAKE YOUR DONORS MILLIONAIRES!     
Todd Richardson 
Caleb Rowdan 
Shamed Dogan
Nicholas Schroer 
Elija…</t>
  </si>
  <si>
    <t>RT @Lautergeist: Come on #MoLeg!  This is NOT what we hired you to do!  #ElectionsHaveConsequences
We were on to your shenanigans and hire…</t>
  </si>
  <si>
    <t>@J_Hancock Not this time. #Greitens is a SEAL and will fight to the end. If the MO GOP loses seats this November over #LIHTC then so be it.</t>
  </si>
  <si>
    <t>RT @President1Trump: #BREAKING: Former Trump Aide drops a bombshell, says he was approached by a second FBI informant! #ObamaGateSpyScandal…</t>
  </si>
  <si>
    <t>@puckroger @johnrhancock Sir you just hit the nail right on the head. Even the well meaning conservatives out there who are on this impeachment bandwagon are just giving the left ammo for the struggle for the soul of our nation.</t>
  </si>
  <si>
    <t>@EricGreitens Ignore these naysaying bots and keep fighting Governor.  We all know that this is a #LIHTC induced witch hunt.  #IStandWithGreitens</t>
  </si>
  <si>
    <t>@ResethO Understatement of the decade. 😀</t>
  </si>
  <si>
    <t>@thehill #MAGA #MAGA #MAGA!!!!!🇺🇸🇺🇸🇺🇸🇺🇸</t>
  </si>
  <si>
    <t>@JWebb4Justice Welcome to the party....</t>
  </si>
  <si>
    <t>RT @JW1057: @ksdknews Still don't think this is political? Kitty runs around for months screaming privacy and then gives interview on eve o…</t>
  </si>
  <si>
    <t>@CaseyNolen So I guess this means the case will not be refiled.  ?</t>
  </si>
  <si>
    <t>@jeanpetersbaker Everyone knows her name anyways and the ex husbands.</t>
  </si>
  <si>
    <t>RT @YearOfZero: Ali. Where have u been? 
Bunch of #Missouri citizens have been covering witch hunt &amp;amp; con job on @EricGreitens 
Reason us…</t>
  </si>
  <si>
    <t>RT @YearOfZero: These folks are actually talking about why a scam job the whole #greitens thing is.
Hashtags to look at besides #moleg #mo…</t>
  </si>
  <si>
    <t>Yes #moleg. This is not shady at all 😎 #saveGovernorGreitens https://t.co/8KLn0Z5sKQ</t>
  </si>
  <si>
    <t>@ahernandez2bak @seanhannity @SaraCarterDC @CNN @MSNBC Keep dreaming while we #MAGA🇺🇸🇺🇸🇺🇸 😂😂😂😂😂😂😂</t>
  </si>
  <si>
    <t>@tflinn1 Uhhh.  #CrossfireHurricane .....</t>
  </si>
  <si>
    <t>@EricHolder Fast and Furious.... enough said.</t>
  </si>
  <si>
    <t>Stopping Robert Mueller to protect us all https://t.co/6uhFQmo5Y1   too bad Dems...  you can’t pull your money out of the pot when you have already gone all in and your bluff is called</t>
  </si>
  <si>
    <t>RT @RealJack: At least he told the truth.... for once. https://t.co/LigQl0GNrZ</t>
  </si>
  <si>
    <t>RT @philip_saulter: @ericgraves50 @EricGreitens @KOMUnews #Moleg seems to forget that Eric still has the support of many many Missourians.…</t>
  </si>
  <si>
    <t>@kathygriffin #LiberalismIsAMentalDisorder</t>
  </si>
  <si>
    <t>RT @you: @realDonaldTrump Do you believe Donald?</t>
  </si>
  <si>
    <t>RT @stump54jumper: don't do it Trump!!!! https://t.co/idPAP47VBm</t>
  </si>
  <si>
    <t>@andylassner Hold our beers .....</t>
  </si>
  <si>
    <t>@NYMag @sullydish Promises Kept. #MAGA #KAG #Trump2020 🇺🇸🇺🇸🇺🇸🇺🇸🇺🇸🇺🇸🇺🇸🇺🇸🇺🇸🇺🇸🇺🇸🇺🇸🇺🇸🇺🇸</t>
  </si>
  <si>
    <t>RT @88YahamaKeys: #Moleg What are you going to impeach the @GovGreitensMO for?  Do tell! Because charges were dropped and then this was iss…</t>
  </si>
  <si>
    <t>@JohnBrennan With all due respect sir, you seem a bit rattled</t>
  </si>
  <si>
    <t>RT @AndrewPollackFL: My son is spot on! Our politicians have been incredibly selfish. They don’t care about the kids that are dying. All th…</t>
  </si>
  <si>
    <t>RT @realDonaldTrump: I hereby demand, and will do so officially tomorrow, that the Department of Justice look into whether or not the FBI/D…</t>
  </si>
  <si>
    <t>RT @realDonaldTrump: The Witch Hunt finds no Collusion with Russia - so now they’re looking at the rest of the World. Oh’ great!</t>
  </si>
  <si>
    <t>@realDonaldTrump #MAGA 🇺🇸🇺🇸🇺🇸🇺🇸🇺🇸. Gloves OFF!!!!</t>
  </si>
  <si>
    <t>@KathieConway @angiericono @EricGreitens @KCTV5 I am still trying to figure out why #moleg is willing to enrage the base over #LIHTC scams. #WeThePeople are pissed and will not forget!!!!</t>
  </si>
  <si>
    <t>@angiericono @EricGreitens @KCTV5 I am still trying to figure out why #moleg is willing to enrage the base over #LIHTC scams. #WeThePeople are pissed and will not forget!!!!</t>
  </si>
  <si>
    <t>@SpeakerTimJones @jeffreyjonesmo Tim. Just mute the Bot and let him talk to his whole 16 followers.   😂😂</t>
  </si>
  <si>
    <t>RT @magathemaga1: The KC STAR IS FOR THE POLITCAL COUP OF THE PEOPLE OF MISSOURI 
SO ARE DEMOCRATS TOO
#MoLeg #mogov #greitens https://t.…</t>
  </si>
  <si>
    <t>RT @CStamper_: Unlike Soros-backed prosecutors, lobbyists, greedy special interests, self-interested politicians, and the liberal media, re…</t>
  </si>
  <si>
    <t>RT @tkinder: If the Republican #moleg thinks they don’t need the support of Governor .@EricGreitens and President .@realDonaldTrump voters,…</t>
  </si>
  <si>
    <t>RT @Norasmith1000: @magathemaga1 @EricGreitens @Rep_TRichardson @Eric_Schmitt @SKOLBLUE1 @Avenge_mypeople @Neilin1Neil @jrosenbaum @blackwi…</t>
  </si>
  <si>
    <t>RT @christoferguson: #StL Circuit Attorney Blamed for release of notorious burglary ring police had worked years to catch: https://t.co/F8B…</t>
  </si>
  <si>
    <t>RT @YearOfZero: So despite the fact that @EricGreitens has been proven innocent, the @KCStar doubles down on their nonsense 
Sure does loo…</t>
  </si>
  <si>
    <t>@robreiner #LiberalismIsAMentalDisorder</t>
  </si>
  <si>
    <t>#LiberalismIsADangerousMentalDisorder https://t.co/r4PF2WKoLv</t>
  </si>
  <si>
    <t>@il_sicario_ @hqtrivia Dreamliner?</t>
  </si>
  <si>
    <t>@hqtrivia Lost on the feather brick question.  Silly me</t>
  </si>
  <si>
    <t>@cnnbrk WINNING!!!!!!!</t>
  </si>
  <si>
    <t>@blairingoutloud @KaitMarieox @KentState Well looks like she is/was</t>
  </si>
  <si>
    <t>@BenEncodes @RealPaulWinters @laurenshippen I do.</t>
  </si>
  <si>
    <t>@clairecmc @HawleyMO You won’t be facing Hawley. Missouri is #ReadyForMonetti</t>
  </si>
  <si>
    <t>@McCaskill4MO @clairecmc @CoryBooker #ReadyForMonetti #FireClaire #RedWaveRising2018</t>
  </si>
  <si>
    <t>RT @RealTravisCook: Dear #MoLeg:  We elected Governor #Greitens.  We are pleased with his performance thus far.  We also elected you.  This…</t>
  </si>
  <si>
    <t>RT @VisioDeiFromLA: The two biggest problems with jay barnes motion is that it doesnt 1. Allow #Greitens team to cross examine witnesses.…</t>
  </si>
  <si>
    <t>@Phillies Welcome to Baseball Heaven Phillies!</t>
  </si>
  <si>
    <t>RT @tkinder: And the #moleg special session of Pick an excuse to overturn the election of Governor .@EricGreitens rolls on... https://t.co/…</t>
  </si>
  <si>
    <t>@NickThompsonTV @FOX2now @Rep_TRichardson Looks like Greitens has been an effective leader after all.</t>
  </si>
  <si>
    <t>RT @DawnyMarie7: Shooter in Santa Fe was to be arrested today on a warrant for terrorist threats! Gulf Coast Criminal Apprehension Team was…</t>
  </si>
  <si>
    <t>RT @PrisonPlanet: Retweet if you couldn't care less about the royal wedding.</t>
  </si>
  <si>
    <t>@clairecmc Again “shall not be infringed”  Your call for gun control doesn’t reflect the feelings of your constituents. That’s why Missouri is #ReadyForMonetti @Monetti4Senate</t>
  </si>
  <si>
    <t>RT @toddstarnes: I'm not so sure folks want to address the real problem with America. It's not a gun problem. It's a spiritual problem.</t>
  </si>
  <si>
    <t>@J_Hancock @Rep_TRichardson Glad to hear that our state government led by Governor Greitens is Making Missouri Great Again! @EricGreitens @971FMTalk @jallman971 @MarcCox971</t>
  </si>
  <si>
    <t>@JCunninghamMO @EricGreitens @HawleyMO Something our honorable reps should be considering for sure!!!</t>
  </si>
  <si>
    <t>@Jennifrrrrr @KRCG13 @AGJoshHawley @EricGreitens Not to mention that manufacturing is booming.</t>
  </si>
  <si>
    <t>@Jennifrrrrr @KRCG13 @AGJoshHawley @EricGreitens Yes that cobalt mine being opened in Fredericktown is really going to suck. And the smelter reopening In he bootheel</t>
  </si>
  <si>
    <t>@Jennifrrrrr @KRCG13 @AGJoshHawley @EricGreitens is AWESOME!!!!</t>
  </si>
  <si>
    <t>@ScottCharton @EricGreitens @MOEthics Most of us are growing tired of the witch hunt.</t>
  </si>
  <si>
    <t>@CJheartart @EricGreitens @stltoday Common sense once you get of St. Louis</t>
  </si>
  <si>
    <t>@tonymess @EricGreitens People are getting tired of the witchunt.</t>
  </si>
  <si>
    <t>@CaseyNolen @StLouisCityCA @EricGreitens The could have just checked out a copy of 50 shades of gray...</t>
  </si>
  <si>
    <t>@MarshallGReport @EricGreitens @jmannies @jrosenbaum He ain’t lying....</t>
  </si>
  <si>
    <t>@JoeyABC17 Maybe if the press had a shred of ethics....</t>
  </si>
  <si>
    <t>RT @SorosInSTL: Scott Charton, friends with Scott Faughn and connected around the state, likely knows where the money for Al Watkins came f…</t>
  </si>
  <si>
    <t>@ShowMe @PatrickTuohey @KCPT @sprint May need to ask him what he has to gain from a #Greitens impeachment.</t>
  </si>
  <si>
    <t>@RightRachel @PatrickTuohey Feelings mutual</t>
  </si>
  <si>
    <t>@PatrickTuohey Wow.  Nice coming from @ShowMe. @MarcCox971 @971FMTalk</t>
  </si>
  <si>
    <t>RT @EdBigCon: @ES03784893 @PatrickTuohey I'll help you out! #Moleg  https://t.co/nQmE7TEUgj</t>
  </si>
  <si>
    <t>RT @SykesforSenate: Missouri House of Representatives: Urgent! Stop the Coup Against Gov. Eric Greitens - Sign the Petition! https://t.co/8…</t>
  </si>
  <si>
    <t>RT @magathemaga1: Good morning #MoLeg 
Where is the West Butler County Bag Man?
And what does Sterling Bank have to do we this whole #Gre…</t>
  </si>
  <si>
    <t>@SpeakerTimJones A very pleaseant suprise</t>
  </si>
  <si>
    <t>Today is going to be Awesome😎 #MAGA #Winning https://t.co/VRhAEeaIkq</t>
  </si>
  <si>
    <t>@stiner_kathy @foxandfriends She’s right PP also sells body parts.</t>
  </si>
  <si>
    <t>@thehill Abortionists are #Animals!!!!!!!!</t>
  </si>
  <si>
    <t>@FOX2now Said it before and saying it again Moseby 2.0 😂😂😂</t>
  </si>
  <si>
    <t>RT @YearOfZero: Why don’t you audit the Low Income Housing Tax Credit or how much month was spent on lying Kim Gardner’s farce?
#moleg #mo…</t>
  </si>
  <si>
    <t>Why does @clairecmc VOTE AGAINST ALMOST EVERY SINGLE TRUMP APPOINTEE?  How does this obstruction represent or act in the interest of Missouri?  #ReadyForMonetti @Monetti4Senate  @jallman971</t>
  </si>
  <si>
    <t>This is what the whole impeachment is about. Everything else is smoke and mirrors. #moleg https://t.co/WBzqw1tXoV</t>
  </si>
  <si>
    <t>RT @MistreQue: Watch @Gambill_'s broadcast: Active shooter at Boulevard Mall Las Vegas https://t.co/K31BfQ9FYz</t>
  </si>
  <si>
    <t>RT @SKOLBLUE1: @RightRachel Rachel don't you see, me and my 50 friends in each district that tell their friends in their districts makes a…</t>
  </si>
  <si>
    <t>@RightRachel Spoke to my rep today and making noise out here in the sticks.  Your Bio says you never give up.... Neither do I.</t>
  </si>
  <si>
    <t>I am asking all my followers to sign this petition.  #maga one state at a time!!!
Missouri House of Representatives: Urgent! Stop the Coup Against Gov. Eric Greitens - Sign the Petition! https://t.co/kjK2rKi8rm via @Change</t>
  </si>
  <si>
    <t>@nicolergalloway Do what ya gotta do. While your at it can you look any shenanigans surrounding LIHTC legislation?  Thx.</t>
  </si>
  <si>
    <t>@stlteaparty Should have been an answer for undecided</t>
  </si>
  <si>
    <t>@semotimes @thisweekinmopol @HafnerMO @missioncontinue @STLKCCRC I am more interested in Low Income Housing Tax Credits and who stands to gain if Governor Greitens is impeached. #followtheMoney #JeffCitySwamp #moleg</t>
  </si>
  <si>
    <t>@Missourinet Do we know which reps signed the petition?</t>
  </si>
  <si>
    <t>Follow the money. Or in this case the Low Income Housing Tax Credit. #moleg #jeffcityswamp https://t.co/z1oFRCavVm</t>
  </si>
  <si>
    <t>@antiquebloomer @CleanMissouri And the problem with this is what??????</t>
  </si>
  <si>
    <t>@971FMTalk @jallman971 @MarcCox971 @MyMoInfo @dailyjournalmo #JeffCitySwamp #moleg https://t.co/lOgp1q2ksk</t>
  </si>
  <si>
    <t>Good Morning all. We need to ask #moleg why, in addition to try to nullify our choice of Governor, why are they allowing our electric rates to rise?  Do they forget who the represent? #JeffCitySwamp</t>
  </si>
  <si>
    <t>@MariaChappelleN I’m listening.....</t>
  </si>
  <si>
    <t>RT @RealTravisCook: @1057thePoint The charges against Governor #Greitens have been dismissed, so why haven't you fired Phil Sneed for makin…</t>
  </si>
  <si>
    <t>RT @FOX2now: Follow the money trail behind the Greitens’ invasion of privacy case https://t.co/M5p9zwMxJT https://t.co/IDemVe7OoY</t>
  </si>
  <si>
    <t>#CrossfireHurricane not trending anymore.  Some one must have realized that it backfired against the left, like everything else they touch.</t>
  </si>
  <si>
    <t>@MarcGagne16 @SpeakerTimJones 14 followers.  Hahaha.  Bot.</t>
  </si>
  <si>
    <t>@EducatorRogue @SpeakerTimJones @realDonaldTrump #CrossfireHurricane being exposed is very nice. Next up #OIGREPORT bye bye Dems....</t>
  </si>
  <si>
    <t>@tonymess @stltoday here is an idea for a front page headline. https://t.co/gZKRG0q2bX</t>
  </si>
  <si>
    <t>RT @StephenMilIer: That big BOOM that you just heard, was the bust of the 'impeach 45' balloon.</t>
  </si>
  <si>
    <t>@wrap02 @sarahfelts @LanceWhitney6 Agree, let’s see what really goes on n Jefferson City. https://t.co/UofW0BPWTx</t>
  </si>
  <si>
    <t>RT @magathemaga1: What we definitely know for sure?
Stacey Knewman is involved in coordination with Mo House dems and #KimShady
She knew.…</t>
  </si>
  <si>
    <t>RT @magathemaga1: I'm back #MoLeg 
Things got too boring.
Appears we have our first live look at  #MoneyBagaAl 50k.
Courtesy of @MattSto…</t>
  </si>
  <si>
    <t>@jallman971 @971FMTalk @MarcCox971 @semissourian https://t.co/AKtO6946LM</t>
  </si>
  <si>
    <t>RT @JakeMul86720122: @Thomas1774Paine @_Red_Wolf_1 They were so close to accomplishing their agenda! #Qanon #PatriotsFight #CrossfireHurric…</t>
  </si>
  <si>
    <t>@Monetti4Senate @DeerMonkey1 @realDonaldTrump Grassroots are going to wipe the establishment out in 2018!!!!  #maga #thestorm</t>
  </si>
  <si>
    <t>RT @Str8DonLemon: #moleg members.
The FBI &amp;amp; IRS needs to investigate the whereabouts of Scott Faughn and who gave him the moneh to pay off…</t>
  </si>
  <si>
    <t>RT @rhondas_lil_sis: Hoping #moleg will get back to the work of the people. #WitchHunt https://t.co/jQhE3R91nt</t>
  </si>
  <si>
    <t>RT @hrenee80: The FBI tried to frame a presidential candidate.
Let that sink in. 
#CrossfireHurricane</t>
  </si>
  <si>
    <t>RT @AlecHagel: The Hill News Site Withheld Mueller 'Bombshell' For Months; Shielding the Special Counsel, FBI &amp;amp; Hillary from Congressional…</t>
  </si>
  <si>
    <t>@HafnerMO #WeThePeople</t>
  </si>
  <si>
    <t>RT @Sticknstones4: Wonder how we got to these Greitens witch hunts ? 
Don’t understand Low Income Housing Tax Credits or LIHTC for short…</t>
  </si>
  <si>
    <t>#CrossfireHurricane one shot rum one shot vodka mix with #Covfefe and serve chilled 😎</t>
  </si>
  <si>
    <t>@KMoneyDaBoss Rum and vodka?</t>
  </si>
  <si>
    <t>#CrossfireHurricane so y’all wanna see a storm...? https://t.co/hGJbNUheKA</t>
  </si>
  <si>
    <t>Crossfire Hurricane  #thestorm #qanon #GreatAwakening #MAGA !!!!</t>
  </si>
  <si>
    <t>@kerpen Honestly do not know one Missourian that is supporting him in the Primary right now.</t>
  </si>
  <si>
    <t>RT @toadtws: @JCunninghamMO I look forward to MO press doggedly exploring whether anyone associated with effort to impeach Gov. Greitens ha…</t>
  </si>
  <si>
    <t>@JCunninghamMO I am sure there are SEVERAL glass houses in Jeff City.</t>
  </si>
  <si>
    <t>@HafnerMO May be best to drop these hearings and let us settle it in 2020. You know, let the government work like it should?</t>
  </si>
  <si>
    <t>RT @Str8DonLemon: Yo #MoLeg
I see you still got ur witch hunt going!
Remember, there would be no second indictment without the first indi…</t>
  </si>
  <si>
    <t>@AlishaShurr May be more cost effective to drop this matter and let #WeThePeople take care of it in 2020</t>
  </si>
  <si>
    <t>@SharkFu Got a problem with due process?</t>
  </si>
  <si>
    <t>@KMOV Only fair way to settle this....</t>
  </si>
  <si>
    <t>RT @J_Hancock: . @EricGreitens’ impeachment team says alleged victim should testify in open, face cross-examination https://t.co/9AHWTd4qZO…</t>
  </si>
  <si>
    <t>@J_Hancock @EricGreitens Without a doubt</t>
  </si>
  <si>
    <t>RT @RGreggKeller: #MOLeg: literally their entire strategy is banking that you’re too stupid to know any better. https://t.co/P8tiCFNpUK</t>
  </si>
  <si>
    <t>I take it that Trump Tower is the Mueller #nothingburger of the day...</t>
  </si>
  <si>
    <t>@therealroseanne @chrgdup1973 @POTUS Great episode.  Keep the show political!</t>
  </si>
  <si>
    <t>@Resistreform @MarkReardonKMOX Probably trying to keep small businesses in St Louis is my guess.  Heck prevailing fast food wages in the area are about 10 bucks an hour anyways</t>
  </si>
  <si>
    <t>@r_little_finger @sesg13 I know that I am shadowbanned right now</t>
  </si>
  <si>
    <t>@Monetti4Senate @John_N_Blatz @HawleyMO @POTUS Josh who?</t>
  </si>
  <si>
    <t>RT @DineshDSouza: Is Mueller investigating a crime or going in search of a crime? One is police work; the other is characteristic of a poli…</t>
  </si>
  <si>
    <t>@RightRachel If that is the case, you primary him in 2020.  #moleg should not doing this.</t>
  </si>
  <si>
    <t>@Lnnie You believe every thing you read on the internet?</t>
  </si>
  <si>
    <t>@NYTNational Still he persists!</t>
  </si>
  <si>
    <t>RT @FOX2now: Aldermen plan to grill Circuit Attorney over cost of the Greitens’ trial https://t.co/7txB3MCWEu https://t.co/BAXEkZi13G</t>
  </si>
  <si>
    <t>@mcbridetd Can you blame them?   Resist... right?</t>
  </si>
  <si>
    <t>RT @ChrystalPolitte: #YouPaidForIt  Did MO Circuit Attorney #KimGardner use funds designated to fight rising St Louis crime on her politica…</t>
  </si>
  <si>
    <t>@HennessySTL Like when Pac Man hits the power pellet https://t.co/HT5efxJjQG</t>
  </si>
  <si>
    <t>@JPRadioMofo @MarkReardonKMOX Or Cairo ILL</t>
  </si>
  <si>
    <t>@Resistreform @MarkReardonKMOX You realize that Greitens is facing impeachment because he is going after Corperation tax credits?</t>
  </si>
  <si>
    <t>@RosMathieson @AmbJohnBolton @bpolitics Screw em. Walk away. #nodeal covey101</t>
  </si>
  <si>
    <t>@Ollyoxinfree @jack @POTUS Banned</t>
  </si>
  <si>
    <t>Funny how #moleg is playing both sides of the field on this issue. https://t.co/ovdV9fHXoy</t>
  </si>
  <si>
    <t>So #moleg No Tax cuts?  Thanks for Nothing!!!!!!!</t>
  </si>
  <si>
    <t>@MultiStateAssoc Vote em all out!!!!’ #moleg</t>
  </si>
  <si>
    <t>@JaneDueker More upset about the tax money that was wasted by the state.    That could have bought a lot of school lunches for hungry kids or something.....</t>
  </si>
  <si>
    <t>@KurtEricksonPD @stltoday Reloading eh?</t>
  </si>
  <si>
    <t>@JohnAMDG 😂😂😂 almost spit water over the keyboard.</t>
  </si>
  <si>
    <t>RT @Thomas1774Paine: BREAKING: Gen. Flynn Signed Guilty Plea After Mueller Threatened His Family, Son; Thug Tactics Coerced Plea Deal https…</t>
  </si>
  <si>
    <t>@JackSuntrup @stltoday It’s cute how y’all keep thinking that Hawley is going to win the primary.</t>
  </si>
  <si>
    <t>@Shox820 @staceynewman In other words #molegs drive to undermine #WeThePeople continues</t>
  </si>
  <si>
    <t>@971FMTalk @MarcCox971 @toddstarnes @RandyToblerMD @Judgenap @RodneyBoyd 🚗 Good Morning. Commute mode engaged 🚗💨💨</t>
  </si>
  <si>
    <t>RT @DevinNunes: This is what real reporting looks like...time to eliminate the redacted texts for all Americans to see! https://t.co/sfPLtW…</t>
  </si>
  <si>
    <t>@JaneDueker Won’t be Dems either.  We’re gonna go pure #MAGA.  Negotiate with the Blue Dog Dems and have us a redneck rebellion!!!</t>
  </si>
  <si>
    <t>@JaneDueker I know.  Very disappointed in the addiction to corporate tax credits. It will cost them next election.</t>
  </si>
  <si>
    <t>@JaneDueker And yes that applies to the sellout GOP folks in #moleg as well.</t>
  </si>
  <si>
    <t>@JaneDueker Not really our hero, At this point I would support a different candidate in the 2020 primary But you Dems need to learn how to accept your losses and wait until the next election and not waste all this time and money with these idiotic impeachment tactics</t>
  </si>
  <si>
    <t>@JaneDueker Well the whole story was a dream.   We will just have to see how the other charger play out. I would suggest finding a prosecutor that understands criminal law though.</t>
  </si>
  <si>
    <t>@JaneDueker Oh we are livid. But we are not bots.</t>
  </si>
  <si>
    <t>@rlippmann I have enjoyed your coverage this past week. Honestly.</t>
  </si>
  <si>
    <t>@MagsVisaggs Hello from the other side....</t>
  </si>
  <si>
    <t>RT @MtRushmore2016: @CStamper_ Geesh, sorta feels like the SC Mueller railroad job against Pres Trump in The Swamp! Sending the message, Ou…</t>
  </si>
  <si>
    <t>RT @tkinder: What if #moleg decided to throw a witch hunt but nobody came?</t>
  </si>
  <si>
    <t>@rlippmann @OHnewsroom @freditor15 Maybe you can report on them throwing #kimgardner out to the curb😂😂😂</t>
  </si>
  <si>
    <t>#moleg has lost the moral authority and ability to lead...  #WeThePeople will be like bulls in a china shop come November. Count on it!! @EricGreitens #GreitensIndictment #MAGA2018 #Greitens #GreitensTrial 🚫👣🐍🇺🇸🇺🇸 https://t.co/hqAoIsfzE6</t>
  </si>
  <si>
    <t>Moral of the #GreitensTrial ? @jallman971 WAS RIGHT FROM THE BEGINNING!!! @SpeakerTimJones @971FMTalk @tonycolombo971 @kbailey971 @MarcCox971 (btw I have lifted my boycott. 971 to work Jamie podcast at work) 🇺🇸🇺🇸🇺🇸🇺🇸</t>
  </si>
  <si>
    <t>@ohsynesthesia @OhSweetCinna @DeplorableGoldn @Bob4Right @ChrisPearcey @EricGreitens Ozark state of mind..😎</t>
  </si>
  <si>
    <t>@ohsynesthesia Late to answer but Monetti</t>
  </si>
  <si>
    <t>@OhSweetCinna @DeplorableGoldn @Bob4Right @ChrisPearcey @EricGreitens All I can say is that Texas must have some messed up courts.  The charge is done in Missouri as far as the court is concerned.</t>
  </si>
  <si>
    <t>#stlwx  getting there.... https://t.co/99dEpffSGr</t>
  </si>
  <si>
    <t>@DeplorableGoldn @OhSweetCinna @Bob4Right @ChrisPearcey @EricGreitens She isn’t.  Basically Gardner is trying to save face by saying she will. Greitens is not out of woods by any means but he won the invasion of privacy battle.</t>
  </si>
  <si>
    <t>@OhSweetCinna @DeplorableGoldn @Bob4Right @ChrisPearcey @EricGreitens *refile</t>
  </si>
  <si>
    <t>@OhSweetCinna @DeplorableGoldn @Bob4Right @ChrisPearcey @EricGreitens Hmm so she is going to refuel charges even though she has no evidence and she has tainted the credibility of her own witness. But whatever helps you sleep tonight😂</t>
  </si>
  <si>
    <t>@reproaction Quit killing fetus’</t>
  </si>
  <si>
    <t>@MarshallGReport @EricGreitens @jaybarnes5 Gonna hold a special session and waste more of our tax dollars.  #JeffCitySwamp🐸🐸🐸</t>
  </si>
  <si>
    <t>@smosley708 Got a problem with due process?</t>
  </si>
  <si>
    <t>@rlippmann Fire them all!!!! #MAGA!!!!!🇺🇸🇺🇸🇺🇸</t>
  </si>
  <si>
    <t>@ChristopherAve @kevinmcdermott @stltoday Newsflash;  Claire won’t be facing Hawley. #ReadyforMonetti 🇺🇸🇺🇸🇺🇸</t>
  </si>
  <si>
    <t>@ChristopherAve Lawmakers will be hearing from #WeThePeople come election time.</t>
  </si>
  <si>
    <t>@OhSweetCinna @DeplorableGoldn @Bob4Right @ChrisPearcey @EricGreitens Another false hope for the Resist peeps.  Gardner ain’t got a thing and she knows it.</t>
  </si>
  <si>
    <t>@MarkReardonKMOX @JaneDueker *we’ll</t>
  </si>
  <si>
    <t>@AngWxGrl @FOX2now Farmington looking NW https://t.co/2qpER4Bkhb</t>
  </si>
  <si>
    <t>@MarkReardonKMOX @JaneDueker Well take care of the #moleg sellouts come primary season.</t>
  </si>
  <si>
    <t>@JaneDueker What evidence?   There was none to begin with.  Just a rubber stamped indictment.</t>
  </si>
  <si>
    <t>@robert_enna Damn Straight!!!</t>
  </si>
  <si>
    <t>RT @CarolineKCTV5: BREAKING NOW: the case against Gov @EricGreitens has been dismissed. I’m working to get more information now but it look…</t>
  </si>
  <si>
    <t>@adamdwoody As a defense atty, whats is your opinion on Gardner’s case. without photos does she have anything?</t>
  </si>
  <si>
    <t>RT @jrosenbaum: What I’m wondering is if @jaybarnes5 will subpoena low income housing tax credit developers/lobbyists to ask them under oat…</t>
  </si>
  <si>
    <t>@JPCTumblr @KCStar So I reckon y’all have given up on the invasion of privacy witchhunt now? #GreitensTrial</t>
  </si>
  <si>
    <t>@angelakuehn It’s like some sort of demented John Grisham novel.</t>
  </si>
  <si>
    <t>#TimeToBuild the wall!!!</t>
  </si>
  <si>
    <t>RT @magathemaga1: Who is “The Funder”?
The Funder likely has connection to following people:
1. #MoLeg
2. Scott Faughn
3. Skyler 
The Fu…</t>
  </si>
  <si>
    <t>@alexiszotos Just need to save time and throw the case out.</t>
  </si>
  <si>
    <t>@KCTomDempsey Chicken wire put in place to stop stray bullets...</t>
  </si>
  <si>
    <t>@HAL9000and1 What evidence?</t>
  </si>
  <si>
    <t>@Lautergeist @stlcao @HereLiesMoon Haha. here LIES moon.</t>
  </si>
  <si>
    <t>@sheermean @SharkFu What for?  There is absolutely no evidence supporting this charge!!</t>
  </si>
  <si>
    <t>RT @Lautergeist: Our Gov was looking happy today.  Maybe #KimShady will do the right thing and dismiss this case for lack of evidence?
#Gr…</t>
  </si>
  <si>
    <t>RT @rothfarms: #GreitensTrial
St. Louis Circuit Attorney's Office Refuses to Follow the Law, Public Defender Charges https://t.co/KYjuXRjB55</t>
  </si>
  <si>
    <t>RT @CStamper_: Soros-backed prosecutor Kim Gardner’s witch hunt “is the criminalization of politics, something the left has been doing for…</t>
  </si>
  <si>
    <t>@gr33nazn I wish I was on it</t>
  </si>
  <si>
    <t>@BryanLowry3 Be in by dark...</t>
  </si>
  <si>
    <t>So it is official, This #GreitensTrial will be centered on three year old hearsay testimony. No photos. Pure waste of the taxpayers time. The same for any impeachment proceedings over this matter #moleg</t>
  </si>
  <si>
    <t>@kelseylandis So no evidence at all.</t>
  </si>
  <si>
    <t>RT @kelseylandis: A search of Apple iCloud data returned no evidence of a photo, #Greitens defense says. That’s it for the forensic search…</t>
  </si>
  <si>
    <t>@NARALMissouri Abortion is murder</t>
  </si>
  <si>
    <t>Waiting to see #SCOTUS affirm the Travel Ban and rule in favor of the Christian baker.</t>
  </si>
  <si>
    <t>@SebGorka @realDonaldTrump Best president ever!!!🇺🇸🇮🇱🇺🇸🇮🇱</t>
  </si>
  <si>
    <t>Another promise kept!!! Thank You Mr President!!!👏👏🇺🇸🇮🇱🇺🇸🇮🇱 https://t.co/7aXB55ZA7D</t>
  </si>
  <si>
    <t>@NARALMissouri Abortion is murder.</t>
  </si>
  <si>
    <t>@ES03784893 @BryanLowry3 @EricGreitens Most of us are at work.  No dark money for me, I just know a witch hunt when I see one.</t>
  </si>
  <si>
    <t>@hqtrivia @NBCTheVoice Free life for stormspotter13 please?</t>
  </si>
  <si>
    <t>YEE HAA!!!!!! #AmericanIdol</t>
  </si>
  <si>
    <t>@Sticknstones4 Gardner is doing a fantastic job of keeping her priorities straight 😂😂😂</t>
  </si>
  <si>
    <t>@paulcurtman @AP4Liberty @SykesforSenate @Monetti4Senate @Kristi414US @EagleEdMartin @StacyOnTheRight @jallman971 Complicated issue that is as much as a factor in the GOP civil war in Missouri as anything</t>
  </si>
  <si>
    <t>@reproaction You are pro abortion so lay off with this fake moral superiority. You are fooling no one. You would not be protesting if the governor was pro choice.</t>
  </si>
  <si>
    <t>@LJH1969 @huzzahmpls Well we know it is our taxes funding this witch hunt. And paying out of state investigators.</t>
  </si>
  <si>
    <t>RT @VisioDeiFromLA: Is @jaybarnes5 intentionally trying to taint jury pool?
@Eric_Schmitt the people see this COUP for what it is. Might w…</t>
  </si>
  <si>
    <t>@stlpublicradio Does it matter? https://t.co/WdmCy1zw31</t>
  </si>
  <si>
    <t>@KurtEricksonPD @stltoday Since you mentioned photos... https://t.co/1nAwJIdpNe</t>
  </si>
  <si>
    <t>@JABuchanan  https://t.co/DHt0MAnnkJ</t>
  </si>
  <si>
    <t>RT @KMOV: #BREAKING: No photos of Governor @EricGreitens' ex-mistress were found on his phone. #GreitensTrial #KMOV https://t.co/A3dWREDaJk</t>
  </si>
  <si>
    <t>RT @RiverfrontTimes: Public defenders are asking the court to take action against the St. Louis Circuit Attorney's Office for failing to fo…</t>
  </si>
  <si>
    <t>@MIZCRB @FOX2now All questions that would have been useful months ago.   As it is Prosecution has nada.</t>
  </si>
  <si>
    <t>RT @Sticknstones4: Public defenders are asking the court to take action against the St. Louis Circuit Attorney's Office for failing to foll…</t>
  </si>
  <si>
    <t>@wrap02 @ChrisHayesTV What exactly is a premeditated affair?   😂😂</t>
  </si>
  <si>
    <t>@joelcurrier @stltoday But no incriminating photos found.  Me thinks Gardner is abusing her power #WitchHunt</t>
  </si>
  <si>
    <t>RT @magathemaga1: Hi #moleg
1. No Photo
2. Find Scotty!
3. #MoGov COUP!
4. Moleg Collusion with #KimShady
5. Inconsistent testimony (she l…</t>
  </si>
  <si>
    <t>@reproaction Abortion is an unethical disgrace</t>
  </si>
  <si>
    <t>@FOX2now Well I reckon it is time to shut this down...</t>
  </si>
  <si>
    <t>@ElizabethReilly Many of which that would gladly trade their handouts in for a decent job and oppurtunites to be self sufficient.</t>
  </si>
  <si>
    <t>@nickpistor It’s out there already.  And Tony the judge said not to refer to her as a victim. You are continuing to taint the jury pool. Sheesh</t>
  </si>
  <si>
    <t>@NotKeithPatton @VisioDeiFromLA @kmbc @KrisKetzKMBC You better believe it.. follow the money</t>
  </si>
  <si>
    <t>RT @Monetti4Senate: What we are we waiting for? This patriot will not bend the knee to the establishment. We need Constitutional Conservati…</t>
  </si>
  <si>
    <t>@KCStar So don’t print it....  oh the hypocrisy...</t>
  </si>
  <si>
    <t>@joelcurrier Jury will be hung.</t>
  </si>
  <si>
    <t>@bullriders1 @sarahkendzior @EricGreitens Y’all are acting like this is news.   This was settled last year</t>
  </si>
  <si>
    <t>RT @SebGorka: This Gulf War veteran deserves your support. 
Join Team @Monetti4Senate is to Make America Great Again. https://t.co/AuyQsBO…</t>
  </si>
  <si>
    <t>RT @VisioDeiFromLA: @christoferguson Hey ferg... other fact that was in the motion since you are reporting on this.
Kim Gardner
Katrina Sn…</t>
  </si>
  <si>
    <t>@KellyStanze Be interesting to see how this mockery of justice plays out.</t>
  </si>
  <si>
    <t>@DonOBrienWriter Sure... maybe 5 jurors making preliminary cut out of 40.  Exciting times in the Lou...</t>
  </si>
  <si>
    <t>@kmbc @KrisKetzKMBC 3 jurors selected, not seated, in 4 hours.  How will a untainted pool ever be seated?</t>
  </si>
  <si>
    <t>@PianUkePlayer97 @aliemalie @EricGreitens What picture???</t>
  </si>
  <si>
    <t>@CaseyNolen @EricGreitens The media already tried this case on hearsay.  Throw it out!!!!</t>
  </si>
  <si>
    <t>@rlippmann Appreciate the play by play.</t>
  </si>
  <si>
    <t>@KCMikeMahoney Hence why it should be a bench trial.</t>
  </si>
  <si>
    <t>RT @KevinS63103: #GreitensTrial
A felon can kill someone at Ballpark Village or felons can hijack the governor's wife car and Kim Gardner w…</t>
  </si>
  <si>
    <t>#ItStillAmazesMe that people think that @realDonaldTrump is not a great president. Best since Reagan IMHO #Trump2020 🇺🇸🇺🇸🇺🇸 #MAGA2018</t>
  </si>
  <si>
    <t>@WeDefendIsrael @miffythegamer 🇺🇸🇮🇱🇺🇸🇮🇱🇺🇸🇮🇱🇺🇸🇮🇱🇺🇸🇮🇱</t>
  </si>
  <si>
    <t>@EricGreitens Damn the torpedos! Full Speed Ahead!!!!! 👏👏👏. 🐉DRAGON ENERGY🐉</t>
  </si>
  <si>
    <t>@hqtrivia Success.</t>
  </si>
  <si>
    <t>@therealroseanne Walking the razors edge and doing awesome. Great Show!!!!</t>
  </si>
  <si>
    <t>@hqtrivia Glitch</t>
  </si>
  <si>
    <t>@hqtrivia I was like ....what??</t>
  </si>
  <si>
    <t>@SeanMBurns MAGA! #Trump2020!!!🇺🇸🇺🇸🇺🇸</t>
  </si>
  <si>
    <t>@ScannerNewsSTL Thanks for the heads up.  Rerouting....</t>
  </si>
  <si>
    <t>@AP Obama who????</t>
  </si>
  <si>
    <t>@Acosta Happy Days are Here Again!!!!!</t>
  </si>
  <si>
    <t>Liberal meltdown time  #IranDeal 😂😂😂🇺🇸🇺🇸🇺🇸</t>
  </si>
  <si>
    <t>RT @HotPokerPrinces: The Only Thing Greitens &amp;amp; Schneiderman have in common is the fact they both have the same 1st name Eric
Let’s Review…</t>
  </si>
  <si>
    <t>@staceynewman We believe in due process in Missouri... right???</t>
  </si>
  <si>
    <t>@hornsa2013 Furthermore, to me at least, a preemptive resignation would have suggested guilt. He is also in hot water over some campaign issues and chances are he will be impeached regardless of the outcome of this case. We also have some backwoods redneck politics going on as well.</t>
  </si>
  <si>
    <t>@hornsa2013 That is where we sorta disagree.  The accusations are henious in both cases but our criminal justice system is based on innocent til proven guilty.   As a Missouri resident, fully expect Greitens to resign if he is convicted.</t>
  </si>
  <si>
    <t>@nomoremister @baseballcrank We know a hit job when we see one.</t>
  </si>
  <si>
    <t>RT @FriendOfThurlow: Eric Scneiderman Is the Half of It: #Resist #NotMyPresident #TrumpRussia Democrats   Have Been Coordinating Attacks Ag…</t>
  </si>
  <si>
    <t>RT @HotPokerPrinces: Oh  #Moleg  
Slimey Scott Faughn delivers 70k  cash  &amp;amp; than hides 
To evade a supoena
Bad Times for The Missouri Ti…</t>
  </si>
  <si>
    <t>@pochelp @KellyannePolls @TheDemocrats @EricGreitens Clinton’s?  (Asking for a friend)</t>
  </si>
  <si>
    <t>@pochelp @VisioDeiFromLA In the meantime research Missouri corporate tax credits.l and $50K courier drops.  Fun times here in flyoverland.</t>
  </si>
  <si>
    <t>@MichaelSkolnik Y’all are morons for pushing him out so fast. Ever hear of due process?</t>
  </si>
  <si>
    <t>@Christianj_94 @mattmfm Gotta love east coast elites.....</t>
  </si>
  <si>
    <t>RT @DeplorableGoldn: WT actual f is going on?! 
#MOLeg #mogov #STL #StaceyNewman #KimShady #GreitensIndictment 
#MOSen #WitchHunt #greitens…</t>
  </si>
  <si>
    <t>@hornsa2013 Actually the GOP in Missouri has...</t>
  </si>
  <si>
    <t>@cjillian0709 @mattmfm @DavKat43 Looks like it...</t>
  </si>
  <si>
    <t>@PositiveInt @ABPatriotWriter Not sure what you are complaining about. Our Governor has made his stand and now faces the double barrel of a criminal trial and a possible impeachment.</t>
  </si>
  <si>
    <t>@hornsa2013 Comparing apples to oranges...</t>
  </si>
  <si>
    <t>RT @MyAlliesNews: EXCLUSIVE – Hantler: Four Shocking Messages That Reveal Dem Witch Hunt Against GOP Gov. Eric Greitens https://t.co/Sy0aVF…</t>
  </si>
  <si>
    <t>@cjillian0709 @mattmfm @DavKat43 As a Missourian, it is clear that the antics of the prosecutor and the ex has left plenty of room for reasonable doubt in the Greitens case.</t>
  </si>
  <si>
    <t>@SailorDemocracy @KnechtBecky @MichaelAvenatti Now do the Clintons...</t>
  </si>
  <si>
    <t>@yashar Clearly you have not been following the Greitens case closely.</t>
  </si>
  <si>
    <t>@ThumpForTrump @yashar Not to mention that suitcases with $50K have not started popping up in the NY case...  I understand the left’s outrage but things are a bit more complicated in the show me state</t>
  </si>
  <si>
    <t>@electricsoul123 @CNN 1/20/25</t>
  </si>
  <si>
    <t>Schneiderman... watching the left eat their own 😂😂😂 https://t.co/nrjnGRbyXH</t>
  </si>
  <si>
    <t>@Schneiderman He deserves his day in court.</t>
  </si>
  <si>
    <t>@MSNBC @AmerikanLad #FireMuellerNow</t>
  </si>
  <si>
    <t>@stlpublicradio Now public radio is being weaponized?  #defundNPR #greitens</t>
  </si>
  <si>
    <t>RT @Sticknstones4: #KimShady is really Shady and this one Has nothing to do with Eric Greitens
We saw the carnage of Stockley, We’re livin…</t>
  </si>
  <si>
    <t>@ummmno21 Hey you can legally drink now.  Congrats!!!!😀</t>
  </si>
  <si>
    <t>@JoeBReporter Nice synopsis. 👏 looking forward to updates.</t>
  </si>
  <si>
    <t>@DRUDGE_REPORT I am sure that understanding and common ground will be found.</t>
  </si>
  <si>
    <t>@RenaeAngelia @SheenaGreitens @CSISKoreaChair @VictorDCha @BridgetCoggins @mwlippert @SueMiTerry @SheenaGreitens just mute this chick. I did.</t>
  </si>
  <si>
    <t>RT @realDonaldTrump: The United States does not need John Kerry’s possibly illegal Shadow Diplomacy on the very badly negotiated Iran Deal.…</t>
  </si>
  <si>
    <t>RT @JW1057: @StLCountyRepub @EricGreitens @TeamGreitens @SheenaGreitens 
I am truth and justice and @stlcao and @jaybarnes5 are frauds!…</t>
  </si>
  <si>
    <t>@hqtrivia Thought I saw 1030 pop up on the app</t>
  </si>
  <si>
    <t>@maztrev18 @hqtrivia Yep.. learn something new every day</t>
  </si>
  <si>
    <t>@Alyssa_Milano Liar!</t>
  </si>
  <si>
    <t>@hqtrivia Stormspotter13</t>
  </si>
  <si>
    <t>RT @VisioDeiFromLA: Why #STL CA Kim Gardner Must Be Investigated—and Stopped
"#StLouis CA Kim Gardner has clearly, repeatedly &amp;amp; consistent…</t>
  </si>
  <si>
    <t>@tonymess @stltoday So you are happy that you are taking away a man’s right to due process?  Wow!!!</t>
  </si>
  <si>
    <t>@PPMO_Advocates @CleanMissouri Except fetuses.......</t>
  </si>
  <si>
    <t>@Engelhardt_Dan @CleanMissouri SOROS inspired garbage!!!</t>
  </si>
  <si>
    <t>RT @HotPokerPrinces: Follow this Money Trail 💵💰💵💰👇👇
Check the Republic Services, Tilley, Bardgett, Lathrop &amp;amp; Gage money trail
Who are the…</t>
  </si>
  <si>
    <t>@SpeakerTimJones @georgesoros @CleanMissouri Yes sir, we need to make some noise!!!</t>
  </si>
  <si>
    <t>@CashShow_Beau Free wrong answer. I could have used it on the Instagram question😀</t>
  </si>
  <si>
    <t>RT @magathemaga1: #MoGov JUSTICE AWARD goes to ...
MARIA CHAPELLE NADAL
I have criticisms, but you recognized that everybody deserves due…</t>
  </si>
  <si>
    <t>@Ackerman1120 @Budweiser A very nice addition</t>
  </si>
  <si>
    <t>@magathemaga1 🐱is going to accuse him of stealing her copy of 50 Shades of Gray that she checked out from the library.</t>
  </si>
  <si>
    <t>Coming from an elected official.  Sheesh (no wonder STL is so ate up) https://t.co/uSBUvnmDg7</t>
  </si>
  <si>
    <t>RT @magathemaga1: The more we learn on the  #GreitensIndictment, the more we begin to realize, when reporters FOLLOW THE MONEY, &amp;amp; facts com…</t>
  </si>
  <si>
    <t>@JW1057 @Dogan4Rep Come @Dogan4Rep enighten us please</t>
  </si>
  <si>
    <t>@wrap02 Y’all gotta admit that the defense has a compelling argument.  Tell me how an impartial jury can be empaneled?</t>
  </si>
  <si>
    <t>RT @ChrisHayesTV: MO Gov's defense says recently discovered text messages reveal possibility alleged victim could profit. Court motion quot…</t>
  </si>
  <si>
    <t>@elysecowles Flint is not in Iowa. (Just saying.....)</t>
  </si>
  <si>
    <t>Watch that crossfire boys... #WhatStarWarsTaughtMe https://t.co/v5WoF0hM9O</t>
  </si>
  <si>
    <t>@RevChuckCurrie We have armed members at our church.  Course you would not know because we carry concealed.</t>
  </si>
  <si>
    <t>Liberals being liberals I suppose👇 https://t.co/R2KwBaEVp9</t>
  </si>
  <si>
    <t>@amnestyusa 9 will die from texting and driving</t>
  </si>
  <si>
    <t>@Alyssa_Milano @BiasedGirl We’ve being doing it here in Missouri for a while.  Just the way we like it.</t>
  </si>
  <si>
    <t>@JackPosobiec Reminds me of the anonymous $50k cash drops in Missouri</t>
  </si>
  <si>
    <t>About time!!  End the Witch Hunt!! https://t.co/byniBce4CU</t>
  </si>
  <si>
    <t>@GovGreitensMO Still with you Governor.!!!!</t>
  </si>
  <si>
    <t>@J_Hancock @EricGreitens Indictment does not equate to guilt.</t>
  </si>
  <si>
    <t>@PPMO_Advocates Yeah!! Let’s kill babies and sell parts!!!! #moleg</t>
  </si>
  <si>
    <t>@J_Hancock @EricGreitens In other news, GOP legislators in Jeff City have lost their collective minds.</t>
  </si>
  <si>
    <t>@ES03784893 @EricGreitens So why not settle this in 2020?   Got a problem with democratic elections?</t>
  </si>
  <si>
    <t>@SpeakerTimJones @georgesoros Like #moleg cares?  After the way they are treating our Governor I am convinced that that are all in this together.</t>
  </si>
  <si>
    <t>He barely won his primary in 2012.  Hopefully he does not this time.</t>
  </si>
  <si>
    <t>@ES03784893 @EricGreitens @MOEthics Starting to wonder if #moleg knows how do anything.  I need to start paying closer attention to what really goes on at Jeff City.    Lots of rocks being thrown, is there just one glass house?</t>
  </si>
  <si>
    <t>@jeffreyjonesmo *can’t (need more coffee)</t>
  </si>
  <si>
    <t>@jeffreyjonesmo Then we can settle this in 2020 if he is acquitted. Why nullify an election?</t>
  </si>
  <si>
    <t>#moleg Gary Romine and Kevin Engler you are put on notice. Mr Romine, you have lost my support for any reelection bid. Mr Engler (lame duck) you will not have my support in  your bid for county clerk and you endorsement will be a scarlet letter for anyone running for your seat!</t>
  </si>
  <si>
    <t>#moleg is hell bent on nullifying the choice of #WeThePeople for Missouri Governor by calling a special session to continue this witch hun before @EricGreitens has had his day in court. This will be remembered come election time. We need to primary any GOP lawmaker backing this</t>
  </si>
  <si>
    <t>@Shari2112 @TomWellborn @RealJamesWoods Ferguson????  Just saying....</t>
  </si>
  <si>
    <t>@Allisongk9700 @Shy_Bohemian @Kluster_Fck @SteveCasull @Shibum33 @RepSwalwell Problem here is that I do not trust the government to not take a mile if I give an inch.</t>
  </si>
  <si>
    <t>@JeffreyGuterman You seem to be an angry therapist. How do you feel about that?</t>
  </si>
  <si>
    <t>RT @seanhannity: “This is an outrageous miscarriage of justice.”-Mayor Rudy Giuliani #hannity</t>
  </si>
  <si>
    <t>@kathygriffin *our President</t>
  </si>
  <si>
    <t>@thehill #MAGA!!!!! 🇺🇸🇺🇸🇺🇸🇺🇸🇺🇸</t>
  </si>
  <si>
    <t>@Sticknstones4 Boomerang alert!!!</t>
  </si>
  <si>
    <t>@Monetti4Senate He’s too busy adding fuel to witch hunts to be tackling the opioid crisis in MO.</t>
  </si>
  <si>
    <t>@tobyhill1234 Would be nice but our swamp is deep</t>
  </si>
  <si>
    <t>@maddiekmcclain Reports are coming in that the dude was broke.  So where did the 50k come from?</t>
  </si>
  <si>
    <t>RT @Sticknstones4: Hard times for the Missouri Times https://t.co/97mr6GWODs</t>
  </si>
  <si>
    <t>@ws_missouri Baseless??? The $50k(who knows how much more was spent) pretty much confirms our suspicions. But hey, whatever helps you sleep or sell papers....</t>
  </si>
  <si>
    <t>@jrosenbaum @scottfaughn @jallman971 was right all along</t>
  </si>
  <si>
    <t>The Missouri Swamp makes DC look like a small puddle.  #DrainTheDeepStateSwamp https://t.co/QKOU1KPvbq</t>
  </si>
  <si>
    <t>@scottfaughn Swamp Critter from Butler County.....</t>
  </si>
  <si>
    <t>RT @ResignNowKim: @scottfaughn @EricGreitens Hey @scottfaughn:  do you think it’s ethical to secretly fund a scandal, sensationalize it, an…</t>
  </si>
  <si>
    <t>RT @Avenge_mypeople: Just to put this whole #Greitens  affair in perspective: Scott Faughn, owner of Missouri Times gave at least $50,000 t…</t>
  </si>
  <si>
    <t>@st_vockrodt Pure corruption of the justice system. Missouri Swamp!!!!</t>
  </si>
  <si>
    <t>@st_vockrodt @jallman971 nailed it it from the get-go</t>
  </si>
  <si>
    <t>@lindsaywise Obviously this is a political hit job.  Who else has been bought?</t>
  </si>
  <si>
    <t>@Alyssa_Milano Sorry can’t.</t>
  </si>
  <si>
    <t>@Breaking911 Not exactly an uncommon event in STL.  Someone was hit by a stray bullet last year in Busch Stadium during a Cardinals game.</t>
  </si>
  <si>
    <t>RT @ScottPresler: When democrats go low, we go to the polls. 
I promise I'll be voting on Tuesday, November 6th, 2018. 
#MichelleWolf #WHCD</t>
  </si>
  <si>
    <t>#TrumpRally #MAGA has been refueled with #DRAGONENERGY!!!  It is futile to #resist #trump2020 #KAG2018 🇺🇸🇺🇸🇺🇸🇺🇸🇺🇸 https://t.co/63E8NZeJHc</t>
  </si>
  <si>
    <t>#TrumpRally is rocking tonight!!!!</t>
  </si>
  <si>
    <t>@realDonaldTrump is on the ball tonight #TrumpRallyMichigan</t>
  </si>
  <si>
    <t>Remember Alfie Evans should be a rallying cry for #RedWaveRising2018!  This is the kind of government the left wants! #AlfieEvans #midterm2018 #fireclaire</t>
  </si>
  <si>
    <t>@FOX2now S_R_S  would you like to buy a vowel??? #GreitensIndictment</t>
  </si>
  <si>
    <t>@TJM_III @CJPatruno @debbiesideris @Marlow28 @MaasiesMess @JohnBrennan @GOP @realDonaldTrump @MatthewWolfff @DonnaNoble10th @lfkraus @1Jedi_Rey @NWPinPDX @ProudResister @joncoopertweets @wesley_jordan @jacksnowknows Open land, food supply,energy supply infrastructure and resources.</t>
  </si>
  <si>
    <t>#impeach 👇👇👇👇👇 https://t.co/D1hSUWtxiK</t>
  </si>
  <si>
    <t>RT @FOX2now: Investigator in Greitens’ case invokes the Fifth https://t.co/EytRmYrKbp https://t.co/mtTVzj3NBO</t>
  </si>
  <si>
    <t>@BBCWorld @EmeraldRobinson Brought to you by @realDonaldTrump  #DRAGON_ENERGY 🐉🐉🐉🐉</t>
  </si>
  <si>
    <t>#LiberalismIsAMentalDisorder 👇 https://t.co/1ElGDc0LnI</t>
  </si>
  <si>
    <t>RT @Sticknstones4: All that money wasted in hiring Tisaby an outside investigator , that lies &amp;amp; takes the 5th.  This is a disgrace to our j…</t>
  </si>
  <si>
    <t>@SaraCarterDC @VRWCTexan Let em rip tater chip!!!</t>
  </si>
  <si>
    <t>Ya think?  To bad we are going to beat him in the primary election. @SykesforSenate @Monetti4Senate @AP4Liberty https://t.co/u3cjr2yZjy</t>
  </si>
  <si>
    <t>@therealroseanne Gotta work #DragonEnergy into one of you episodes. 🐉</t>
  </si>
  <si>
    <t>@ummmno21 But they all run on #DragonEnergy 🐉</t>
  </si>
  <si>
    <t>@cantbeathepeach @scorpiusjones @kanyewesssttttt Fine thank you,   A perfect metaphor of how the Democratic Party is lying to the black community.</t>
  </si>
  <si>
    <t>#maddow = no #DragonEnergy</t>
  </si>
  <si>
    <t>@Kagatron @jack Happened to me the second I started tweeting #DragonEnergy</t>
  </si>
  <si>
    <t>Just realized @jallman971 was the ORIGINAL #DragonEnergy !!!!@SpeakerTimJones @MarcCox971 @kbailey971 @tonycolombo971 @toddstarnes https://t.co/dA7Zwpp2bQ</t>
  </si>
  <si>
    <t>#DragonEnergy. I love it!! Inspired!!! #MAGA!!!!! https://t.co/n3QYv0Vu6f</t>
  </si>
  <si>
    <t>@scorpiusjones @kanyewesssttttt Dude the sunken place is the Democratic Party.  Them white folks in Get Out were not exactly Deplorables if you get my drift...</t>
  </si>
  <si>
    <t>@kanyewest Sunken place is the Democratic Party.  That was Get Out’s inside joke. #RedPill #woke</t>
  </si>
  <si>
    <t>RT @Dawn_DeMore1: All General Flynn Supporters, Please RT To Show Your Support 🇺🇸
Friday Is #AllInForGenFlynnFriday 
@foxandfriends @sean…</t>
  </si>
  <si>
    <t>@Zac_Petkanas This case is about the limits of Judical power.  Specifically the overreach of the 9th circuit. A question of what the executive branch can do, not what it should do.</t>
  </si>
  <si>
    <t>@nytimes Can’t wait for the left to freak when Ginsburg upholds it. 😂😂😂😂</t>
  </si>
  <si>
    <t>In case anyone is wondering why the #GreitensIndictment witch hunt is really happening. #moleg https://t.co/NqKuOGNAdd</t>
  </si>
  <si>
    <t>#travelban is a case about Seperation of Powers under the constitution, not civil rights. People are going to be pissed but I bet court rules unamiously for President Trump.</t>
  </si>
  <si>
    <t>Even though it is not a Muslim ban, Seperation of Powers TRUMPS #NoMuslimBanEver</t>
  </si>
  <si>
    <t>@HRC @realDonaldTrump You realize that Muslim extremist most favorite pastime involves throwing gays off of buildings?  #LiberalismIsAMentalDisorder</t>
  </si>
  <si>
    <t>@realDonaldTrump @IHSAHistorian Blue wave what?????😂😂😂👏👏👏🇺🇸</t>
  </si>
  <si>
    <t>@EmmanuelMacron @Calipublican @realDonaldTrump Glad y’all had a good visit.  Safe travels!👏👏🇺🇸🇫🇷</t>
  </si>
  <si>
    <t>@castaway5555 They are not sitting presidents.   Lemme ask you this.  Did you know that Obama did not attend Nancy Reagan’s?</t>
  </si>
  <si>
    <t>@MarriedManTalk @stltoday $100,000 worth of cash dropped anonymously?  You better believe it.  Our Governor is innocent till proven guilty. This cash and the nature it’s arrival increases my feeling that something shady has happened. I wonder where to cash went?  To the Ex? The circuit atty? Who knows?</t>
  </si>
  <si>
    <t>@castaway5555 @SocalSwamp @dianabutlerbass All your opinions. The fact remains that NK is backing down.</t>
  </si>
  <si>
    <t>@castaway5555 @dianabutlerbass Ha ha...</t>
  </si>
  <si>
    <t>@stltoday I’m more concerned about the $100,000 that the ex’s lawyer got.  I wonder where else bags of cash have been dropping.</t>
  </si>
  <si>
    <t>RT @AmfellinAlicia: @jallman971 is back with you LIVE this morning....
https://t.co/oA0D8GX1x9</t>
  </si>
  <si>
    <t>@castaway5555 @SocalSwamp @dianabutlerbass Last I checked he is saving your state from being nuked by NK.</t>
  </si>
  <si>
    <t>@castaway5555 And the last sitting president that attended a funeral of a First Lady was....????    Thought you were educated.</t>
  </si>
  <si>
    <t>@castaway5555 @dianabutlerbass Nah.  Just to someone with a lick of common sense.</t>
  </si>
  <si>
    <t>@JaneDueker No but it sure casts reasonable doubt on every allegation of your tweet.</t>
  </si>
  <si>
    <t>I love weather and #TheStorm #MyHandleExplained</t>
  </si>
  <si>
    <t>RT @JW1057: Who is paying Katrina "Kitty" Sneed's attorney, Scott Simpson?
#moleg #mogov #greitens #KimShady #IStandWithGreitens</t>
  </si>
  <si>
    <t>Whisky Tango Foxtrot!!! I told y’all this is a set up. @jallman971 @KMOV @stltoday @SpeakerTimJones #MAGA #moleg #deepstate https://t.co/c17x0KmoQb</t>
  </si>
  <si>
    <t>I am indifferent concerning "Confederate Memorial Day" but am enjoying the liberal meltdown.</t>
  </si>
  <si>
    <t>@dianabutlerbass So many words... so little substance</t>
  </si>
  <si>
    <t>RT @GayRepublicSwag: Retweet if you're a Republican and you don't hate gay people. Let's shock the Democrats with our numbers.</t>
  </si>
  <si>
    <t>@PubPolHist @KurtEricksonPD @EricGreitens The same folks that helped Greitens win in 2016.. so keep patronizing....</t>
  </si>
  <si>
    <t>@ummmno21 That is a lot of trees.....</t>
  </si>
  <si>
    <t>RT @AmfellinAlicia: @KPyatt70 @jallman971 Check out his YouTube channel here.... https://t.co/DzJZaKRV8i</t>
  </si>
  <si>
    <t>@realDonaldTrump @AmerikanLad Shut it down!!!!</t>
  </si>
  <si>
    <t>@ABC @ErikSchouweile2 #MAGA🇺🇸🇺🇸 #winning #Trump2020</t>
  </si>
  <si>
    <t>#GreitensIndictment Still standing with our Governor. Never surrender @EricGreitens</t>
  </si>
  <si>
    <t>RT @realDonaldTrump: James Comey Memos just out and show clearly that there was NO COLLUSION and NO OBSTRUCTION. Also, he leaked classified…</t>
  </si>
  <si>
    <t>@AP So what?</t>
  </si>
  <si>
    <t>#ComeyMemos no collusion. What a shocker....</t>
  </si>
  <si>
    <t>@MadMik2014 @ablasterone @CNN *our President. Fixed it for you.</t>
  </si>
  <si>
    <t>@stltoday  https://t.co/fnxQV3faaN</t>
  </si>
  <si>
    <t>@Lautergeist @MarcCox971 @anniefreyshow @971FMTalk I have liked what little of the MarK Cox show that I have listened to in the afternoon.  Maybe I will listen in.  Still pissed at @971FMTalk</t>
  </si>
  <si>
    <t>@tonymess @EricGreitens Makes me wonder what political operative is encouraging or supporting your vendetta.  Care to comment?</t>
  </si>
  <si>
    <t>@Lautergeist 270 northbound was a parking lot this morning from 55 to 44.  I can only assume this aggravated 141.</t>
  </si>
  <si>
    <t>@Monetti4Senate @billysgirl0214 @HawleyMO It is ON!!!  #ready4monetti</t>
  </si>
  <si>
    <t>RT @Monetti4Senate: Josh @HawleyMO should keep his pledge not to become a ladder-climbing politician, he should not be running for the U.S.…</t>
  </si>
  <si>
    <t>Educate a Liberal #3WordActOfKindness</t>
  </si>
  <si>
    <t>@ScottPresler Heard you on 105.3 in St Louis this afternoon. Great work!!!! 👏👏👏👏</t>
  </si>
  <si>
    <t>@971FMTalk @MarcCox971 @anniefreyshow Would love to hear @jallman971 option on this #justsaying</t>
  </si>
  <si>
    <t>#InsteadOfSpreadingHate , Support @realDonaldTrump !!!</t>
  </si>
  <si>
    <t>@Alyssa_Milano You are on Medicaid and Snap?   Maybe acting is not your thing.</t>
  </si>
  <si>
    <t>AKA. @EricGreitens has exposed swamp critters in Jeff city on BOTH sides of the aisle and now our state is the front line of the cold civil war that is growing across our nation. #DrainTheSwampInJeffersonCity https://t.co/Mub6ALRN3Z</t>
  </si>
  <si>
    <t>@EricGreitens Thank you Governor!! I am starting to think that the swamp in Jeff City is deeper than the one in DC.</t>
  </si>
  <si>
    <t>#MyBumperStickerSays DONT TREAD ON ME... https://t.co/2UQ4ikKtYN</t>
  </si>
  <si>
    <t>#DavidHoggsNextBoycott (please let it be twitter and Facebook 🙏)</t>
  </si>
  <si>
    <t>@tonycolombo971 @MarcCox971 Yes and BRING BACK JAMIE ALLMAN!!!! #IStandWithJamieAllman</t>
  </si>
  <si>
    <t>RT @KMOXKilleen: Lawyers for @EricGreitens will find out Thursday if the case gets tossed over allegations of hiding evidence and perjury b…</t>
  </si>
  <si>
    <t>@KMOXKilleen @EricGreitens Toss it!!!!  Mosby 2.0 #WitchHunt  🌕 lies</t>
  </si>
  <si>
    <t>@NickDesideri Negative</t>
  </si>
  <si>
    <t>@clairecmc State issue, you are a US senator.  Hands off!!!</t>
  </si>
  <si>
    <t>@RGreggKeller @missouriscout I am disappointed with #moleg even considering an impeachment bid right now when the criminal case is on the verge of collapsing.  Disappointed as well in @clairecmc meddling in state affairs. Very self serving IMHO.</t>
  </si>
  <si>
    <t>RT @chuckwoolery: Dirty Soros-Backed St. Louis Circuit Attorney Withheld Major Evidence in Governor Greitens’ Case – Must Resign Immediatel…</t>
  </si>
  <si>
    <t>Will not be buying a car from @LouFuszToyota https://t.co/HRq31yNuDJ</t>
  </si>
  <si>
    <t>RT @Lautergeist: I wonder if @QuikTrip @amfam  @frankletahonda know they are advertising on a radio station that's harboring a #cyberstalke…</t>
  </si>
  <si>
    <t>@FOX2now Dismiss!!!!</t>
  </si>
  <si>
    <t>@hqtrivia Panda is a term from Nepal stormspotter13</t>
  </si>
  <si>
    <t>@Lautergeist Clever use of emojis 👏</t>
  </si>
  <si>
    <t>@PamelaGeller @BeckyPeteson Israel I presume?</t>
  </si>
  <si>
    <t>@robreiner You are an idiot.</t>
  </si>
  <si>
    <t>@lucianwintrich BS</t>
  </si>
  <si>
    <t>@AP4Liberty We are going to have to agree to disagree on this one.  It is within the president's power.</t>
  </si>
  <si>
    <t>@annieboo1972 I would rather he fire mueller!!!</t>
  </si>
  <si>
    <t>@Specneedsmom4 For the first time tonight...... War Power Act.  Limited engagement.</t>
  </si>
  <si>
    <t>Withholding judgment on #SyriaStrikes. But let's not call it a war.</t>
  </si>
  <si>
    <t>Headed for Branson MO.  May be a Tornado Watch by the time I get there.</t>
  </si>
  <si>
    <t>@GovGreitensMO Stand strong Governor!!!!👏👏👏</t>
  </si>
  <si>
    <t>RT @FOX2now: Greitens accuses Gardner of hiding evidence https://t.co/EqReAeBz69 https://t.co/XNlKRozOhw</t>
  </si>
  <si>
    <t>@Eric_Greitbot @AylaKaySmith1 @RepAnnWagner No. Just misguided on this issue.</t>
  </si>
  <si>
    <t>RT @rlippmann: We just wrapped up a two-hour hearing in the @GovGreitensMO criminal trial. Here are some of the takeaways. 1/</t>
  </si>
  <si>
    <t>@jcavaiani @robschaaf @realDonaldTrump Very disappointed in Gary Romine.  He is not representing his district well on this matter.</t>
  </si>
  <si>
    <t>RT @FOX2now: Video deposition suddenly turns up in privacy case; Greitens’ team wants dismissal https://t.co/C9CKzpvhIB https://t.co/IRUP0N…</t>
  </si>
  <si>
    <t>RT @Sticknstones4: Well that’s amazing 🔮✨ I never knew #kimshady was a magician of evidence 🎩🐇
From malfunctioned  damage goods &amp;amp; Abracada…</t>
  </si>
  <si>
    <t>@RepAnnWagner You know, a stage illusionist can seemingly bend the rules of physics, but truth does not change. That's what the report has done distorted facts with drama. But the reality of the case has no changed. No evidence and politically motivated.  You got dazzled Rep Wagner.</t>
  </si>
  <si>
    <t>@RepAnnWagner So we are not doing presumed innocent until proven guilty anymore???</t>
  </si>
  <si>
    <t>@lindsaywise @EricGreitens We are going to primary him so who cares?</t>
  </si>
  <si>
    <t>RT @Hope4Hopeless1: @robschaaf @philip_saulter @DaynaGould @mcbridetd #Moleg an ethical &amp;amp; responsible Lawmaker would never ACTIVELY work to…</t>
  </si>
  <si>
    <t>RT @Sticknstones4: @Str8DonLemon @strmsptr Who is the guy they call the Missouri king of tax credits 
Follow the money 💰 And follow the one…</t>
  </si>
  <si>
    <t>It is all about corporate tax credit and  the Dem's inability to accept a loss. A three year old allegation with no physical evidence.  #moleg https://t.co/bkvRKKIxdr</t>
  </si>
  <si>
    <t>RT @gocrazy4cards: @philip_saulter @robschaaf @DaynaGould @mcbridetd @EricGreitens Is the @MOGOP_Chairman or @MissouriGOP or @MOHouseGOP li…</t>
  </si>
  <si>
    <t>@bshelly @TheFastPitch No we are asking if democrats can ever accept a loss.</t>
  </si>
  <si>
    <t>RT @rcs1218: MO Gov Eric Greitens (R) accused by woman (D) for having unwanted sex with her. Proof? Ploy to get more #dems Govs? She says/h…</t>
  </si>
  <si>
    <t>@robschaaf @philip_saulter @DaynaGould @mcbridetd Why did she wait 3 years until after the election. Why is her ex the one pushing it?  The allegations are horrendous. But they are just allegations</t>
  </si>
  <si>
    <t>@robschaaf @philip_saulter @DaynaGould @mcbridetd House report is a house of Cards built on hearsay. SHOW ME real evidence. Y'all have none</t>
  </si>
  <si>
    <t>RT @philip_saulter: @robschaaf @DaynaGould @mcbridetd Coerced? You do not represent yourself, you represent the people of Missouri.👍  This…</t>
  </si>
  <si>
    <t>@robschaaf @philip_saulter @mcbridetd Thank God!!!!</t>
  </si>
  <si>
    <t>RT @philip_saulter: @robschaaf @DaynaGould @mcbridetd I read all 24 pages.  Nothing but unsubstantiated claims, admitted "contradictory" st…</t>
  </si>
  <si>
    <t>@WSJ Why were these allegations not let lose earlier 🤔🤔🤔</t>
  </si>
  <si>
    <t>Hold the course Governor!!! https://t.co/P3B1t09w3L</t>
  </si>
  <si>
    <t>@tonymess @stltoday Proof?</t>
  </si>
  <si>
    <t>Access Hollywood is Russia?!?   I am confused. #FireMuellerNow</t>
  </si>
  <si>
    <t>@314TruthSeeker @minerjpb @MarcCox971 @jallman971 @PalmHealthSTL @ChesterfieldFD 😂😂😂😂😂😂</t>
  </si>
  <si>
    <t>@STL_Papa @MarcCox971 @jallman971 That strategy seems to be futile.</t>
  </si>
  <si>
    <t>@MarcCox971 @jallman971 Ironic thing is that Allman stuck up for Chappell's freedom of speech</t>
  </si>
  <si>
    <t>RT @314TruthSeeker: @MarcCox971 @jallman971 These advertisers are spineless. Be sure to boycott @PalmHealthSTL @ChesterfieldFD</t>
  </si>
  <si>
    <t>@Thomas1774Paine I hope it is good news because I feel like #Maga is getting its teeth kicked in this week so far</t>
  </si>
  <si>
    <t>@toddstarnes    Please walk away from 97.1  It was Jamie's endorsement that led to me buying your book. This is the type of pushback that you have been warning us about.</t>
  </si>
  <si>
    <t>@staceynewman @DailyLibber @KDNLABC30 @971FMTalk @ProgWomen Follow the money https://t.co/dbRsZyxlbG</t>
  </si>
  <si>
    <t>@TacticalSHT @blackriflellc  please pull your funding immediately. Jamie is a champion for the #2a and siding with 971 now is like siding with Hogg.  #molonlabe #2ADefenders</t>
  </si>
  <si>
    <t>Really @jallman971 is the one reporter in St. Louis who connected the tax credit issue to the #GreitensIndictment   He has been a proponent of #1a. Stuck up for that rep that threatened @realDonaldTrump by not calling for her resignation.  @toddstarns @edhenry need to leave 971</t>
  </si>
  <si>
    <t>@971FMTalk  if the story out of @stltoday is true the your station is cancelled off my radio immediately. @SpeakerTimJones @Pippy971 @kbailey971 @tonycolombo971 @MarcCox971 #DGS971.  No disrespect but your station lost its balls.   #IStandWithJamieAllman #MAGA #STANDANDFIGHT</t>
  </si>
  <si>
    <t>@SebGorka @TrumpetteJamie We bringing it????</t>
  </si>
  <si>
    <t>@Breaking911 Let's just fire mueller.</t>
  </si>
  <si>
    <t>This has got to be a parody account..Right?😂😂😂😂😂 https://t.co/F3h0m1OWND</t>
  </si>
  <si>
    <t>@Jules49HP @dbongino @DeplorableAuror One difference.   We are armed.</t>
  </si>
  <si>
    <t>@Bornintheusa55 @CharlieDaniels I bet you never thought this would happen again in America.</t>
  </si>
  <si>
    <t>AR-15s #UnlikelyDoorToDoorProducts</t>
  </si>
  <si>
    <t>@FoxNews @TT45Pac @POTUS "We'll see what happens"   Bye Bye Mueller</t>
  </si>
  <si>
    <t>@globaltimesnews @Hopes119 -make trade fair again!!!</t>
  </si>
  <si>
    <t>As my wife and kids go to sleep tonight. I am thankful they do not realize the dark clouds that are building over our nation tonight. #civilwar #Maga #softcoup #witchunt 🇺🇸🇺🇸🇺🇸🇺🇸</t>
  </si>
  <si>
    <t>@TheMarkPantano Time to #FireMueller</t>
  </si>
  <si>
    <t>It is time to #FireMueller. Shut it down.  No collusion!!!</t>
  </si>
  <si>
    <t>@TwitterMoments Deep state will be deep state ...</t>
  </si>
  <si>
    <t>RT @DailyMail: Mistress who accused disgraced Missouri governor of taking racy photo to blackmail her now admits she might have DREAMED it…</t>
  </si>
  <si>
    <t>@goodoldcatchy It's all good. 🇺🇸🇺🇸🇺🇸 Thanks for asking</t>
  </si>
  <si>
    <t>CA Gardner going after  #Greitens also reminds the of the corrupt prosecutor in the Count of Monte Cristo. #WitchHunt  @jallman971 @SpeakerTimJones @971FMTalk https://t.co/iU83Q2v3ez</t>
  </si>
  <si>
    <t>@Aviation_Intel Any word on who?  US? Israel?</t>
  </si>
  <si>
    <t>@sharoncarpenter @hqtrivia Is it winner take all or split?</t>
  </si>
  <si>
    <t>RT @SpeakerTimJones: This got well over 100 RT’s &amp;amp; Likes so let’s do it again! @jallman971 @971FMTalk #IStandWithJamieAllman https://t.co/h…</t>
  </si>
  <si>
    <t>RT @SpeakerTimJones: Hey Tweeps! @staceynewman - one of the most mean spirited leftwing liberal lunatics I ever had the displeasure of serv…</t>
  </si>
  <si>
    <t>@realJohnnyZipp Mixed emotions on this one. Mosty thinking  that natural selection should take its course.</t>
  </si>
  <si>
    <t>@JeffreyGuterman And how do you feel about it?.....</t>
  </si>
  <si>
    <t>@ninekiller @jallman971 @PeggyMom03 @sueweaver16 @Pantszilla77 @EstherElsie @88YahamaKeys @TomJEstes @Margare03880660 @dianejneff1 @AnnetteRR @MarcCox971 @HutchDeLoach @MarkMattMO @ChesterfieldPD @AllmanReport @KDNLABC30 @WeAreSinclair @backtwobasics #IStandWithJamieAllman</t>
  </si>
  <si>
    <t>@CashShow_Trivia   @CashShow_Beau @CashShow_Rafael  I just got all questions for the first time. I won I won I won 👏👏👏👏👏👏👏</t>
  </si>
  <si>
    <t>@M_Kelly300 @iamRyanJaycox @jallman971 @GetSpectrum @971FMTalk Speaking for myself, I always go out of my way to back @jallman971  sponsors whenever I can. https://t.co/OPu4ejNviB</t>
  </si>
  <si>
    <t>@TXMilitary As a parent of heroin addict, it would not bother me one bit if y'all shoot traffickers crossing the border and bury them in the desert. No great loss.  #maga #BuildTheWall</t>
  </si>
  <si>
    <t>@EricBoehlert @ultravalerie Best broadcaster in STL in my humble opinion.</t>
  </si>
  <si>
    <t>@ewilk8 @EricBoehlert @jonalan0323 Typical liberal.  Don't like other opinions so let's just ban it.</t>
  </si>
  <si>
    <t>#DearDonaldJTrump keep up the Great Work!!!!</t>
  </si>
  <si>
    <t>@mandystlpd @stltoday 😂😂😂</t>
  </si>
  <si>
    <t>The Commie Left's extreme outrage of @realDonaldTrump  decision to sent our national gauges to the border conforms that it is the best move. 🇺🇸🇺🇸🇺🇸🇺🇸 #AmericaFirst #MAGA</t>
  </si>
  <si>
    <t>@MiFamiliaVota #MAGA!!!! #BuildTheWallNow 🇺🇸🇺🇸🇺🇸</t>
  </si>
  <si>
    <t>@RealMAGASteve @busylizzie48  https://t.co/E2uPvF075L</t>
  </si>
  <si>
    <t>@CashShow_Trivia When do we start seeing luck spins? 😎</t>
  </si>
  <si>
    <t>@lizlogan76 @HowardA_Esq @williamlegate Worst idea ever. #justsaying</t>
  </si>
  <si>
    <t>@itopa_mota @channelstv @realDonaldTrump Both</t>
  </si>
  <si>
    <t>@BlackFish775 @Burghgirl69 Me too.  👏👏👏</t>
  </si>
  <si>
    <t>@Dan081275 @thehill Move then</t>
  </si>
  <si>
    <t>@thehill Now we're talking !!!👏👏👏👏🇺🇸🇺🇸🇺🇸</t>
  </si>
  <si>
    <t>@BlackFish775 @Burghgirl69 Not domestic. It is national defense.</t>
  </si>
  <si>
    <t>@itopa_mota @channelstv @realDonaldTrump Not really. Actually I could not think of a better mission</t>
  </si>
  <si>
    <t>@thehill I am not a bot and #IStandWithLauraIngram  #WeAreNotBots</t>
  </si>
  <si>
    <t>RT @mrsmaisy: If Obama was able to threaten school lunch funding to schools that didn't implement his wife's screwed up destroy lunch crap…</t>
  </si>
  <si>
    <t>@kayculv @CashShow_Trivia @CashShow_Beau @CashShow_Rafael Got 11/12 right on last game. New Record!!!!👏👏👏</t>
  </si>
  <si>
    <t>RT @charliekirk11: Obama approval rating 4/2/10 - 46%
Trump approval rating 4/2/18 — 50%</t>
  </si>
  <si>
    <t>@jhcmarie @PaleoHorse @lexforchange A perfect civics lesson for them about the consequences of giving up liberty for the sake of security.</t>
  </si>
  <si>
    <t>"1.5 hour low pressure" (2 lies). Timeshare tours required.   #SignsYoureOnABudgetVacation</t>
  </si>
  <si>
    <t>@ArnoldMcCoy4 @renee1_usa Bring it!</t>
  </si>
  <si>
    <t>@hqtrivia 80</t>
  </si>
  <si>
    <t>@Joniebear @hqtrivia Stormspotter13  as well please</t>
  </si>
  <si>
    <t>@hqtriviafans Lost at Macintosh</t>
  </si>
  <si>
    <t>So we are going to be invaded in 2 weeks and we are supposed to just let it happen???? @realDonaldTrump #stopthecaravan</t>
  </si>
  <si>
    <t>@FOX2now People still use that one?  Hope all are safe</t>
  </si>
  <si>
    <t>@granny_claudia @ummmno21 @therealroseanne Yeah, go burn some books while you are at it, fascist....</t>
  </si>
  <si>
    <t>@CNNPolitics Somebody is jealous of Roseanne's ratings</t>
  </si>
  <si>
    <t>@NBCNews @NBCNewsTHINK Delete your account @nbcnews</t>
  </si>
  <si>
    <t>RT @AlwaysActions: #ReTweet if you Stand
With @IngrahamAngle https://t.co/js54vlNDW3</t>
  </si>
  <si>
    <t>#MAGA🇺🇸🇺🇸🇺🇸🇺🇸🇺🇸🇺🇸 https://t.co/JX33Rhsboj</t>
  </si>
  <si>
    <t>@BayerUS #BoycottBayer @BayerUS   A German company lecturing us about fascism. Cute...</t>
  </si>
  <si>
    <t>Happy #EasterSunday  HE IS RISEN!!!!!</t>
  </si>
  <si>
    <t>RT @SebGorka: He conquered death. 
For us ALL. https://t.co/vaByJT7KPj</t>
  </si>
  <si>
    <t>#IDontMeanToBeRudeBut #LiberalismIsAMentalDisease</t>
  </si>
  <si>
    <t>@ummmno21 You calling dibs? 😂</t>
  </si>
  <si>
    <t>@SpeakerTimJones He is Risen!!!!</t>
  </si>
  <si>
    <t>@HamillHimself I love our President because coastal elite liberals like you hate him. Regardless I am still a big star wars fan so at least there's that.</t>
  </si>
  <si>
    <t>RT @Kimoe6969: #HoggWash #Hogg #2AShallNotBeInfringed #2Amendment https://t.co/KEFrFHelkM</t>
  </si>
  <si>
    <t>RT @Education4Libs: Like or RT if you are sick of hearing &amp;amp; seeing David Hogg.</t>
  </si>
  <si>
    <t>RT @GeanineC: 1.✈️ TRUMP FORCE ONE is now boarding!➡️Destination: #MAGA! Follow ALL &amp;amp; *retweet* for a followback!
✈@luluHru
✈@BjLloyd3
✈@Ms…</t>
  </si>
  <si>
    <t>The moment when you realize @Johncusack blocked you.  😂😂😂 #MAGA https://t.co/mTydEjIZnL</t>
  </si>
  <si>
    <t>@PKsbpdl More like urban vs rural</t>
  </si>
  <si>
    <t>RT @KyleKashuv: MSNBC and @kurteichenwald feels it's okay to attack Parkland survivors. As we know, that calls for a boycott! 
@smiledirec…</t>
  </si>
  <si>
    <t>#IStandWithLaura</t>
  </si>
  <si>
    <t>@SpeakerTimJones @clairecmc I abide by the saying of "Nevet trust a politician from Missouri who fundraisers in Beverly Hills with Obama"</t>
  </si>
  <si>
    <t>Walk up not our. #WalkUPNotOUT #DestroyABullyIn4Words</t>
  </si>
  <si>
    <t>#2a Trumps your feelings.  #DestroyABullyIn4Words</t>
  </si>
  <si>
    <t>@davidhogg111 @IngrahamAngle What we have here is a modern day Salem witch hunt going on.  Hogg attacks. Gets pushback, freaks out and sics the mob.</t>
  </si>
  <si>
    <t>@os4185 @TruthFeedNews Watching it again on my DVR as I tweet. Good stuff.</t>
  </si>
  <si>
    <t>@dbongino @absparrow Preach it!!! 👏👏👏</t>
  </si>
  <si>
    <t>@DaynaGould @EricGreitens @realDonaldTrump @Sticknstones4 @magathemaga1 @jallman971 @SpeakerTimJones @MOGOP_Chairman @MissouriGOP That would be a nice boost the the area.</t>
  </si>
  <si>
    <t>@davidhogg111 You just overplayed your hand.</t>
  </si>
  <si>
    <t>@CindyBuckeyeFan @calmecam @contrarian11 @davidhogg111 What damage exactly has she done?</t>
  </si>
  <si>
    <t>RT @perfectsliders: Parkland shooting survivor and pro-gun control activist David Hogg is now leading a boycott campaign against Fox News h…</t>
  </si>
  <si>
    <t>On thing that unites the Gateway City!!!! Go #STLCards   !!</t>
  </si>
  <si>
    <t>Beware hunting monsters, lest you become one...... my thoughts on the this Laura Ingraham thing. #1a #2a https://t.co/7o5ZhjGYey</t>
  </si>
  <si>
    <t>The liberal meltdown over Roseanne Barr is hilarious.  😂😂I am assuming that not many of them watched the show. IMHO is represented a cross section of Americana (well minus the coastal elite). #roseanne</t>
  </si>
  <si>
    <t>@Lee_Brockway @hqtrivia Got nailed at dig dug</t>
  </si>
  <si>
    <t>@therealroseanne Correct. But the vibes of the photo and video are downright creepy.</t>
  </si>
  <si>
    <t>@WashTimes I guess attacking the second amendment was not enough. Now they are going after the freedom of press.</t>
  </si>
  <si>
    <t>@therealroseanne Just watched the first episode via DVR. Great to see y'all back!!!</t>
  </si>
  <si>
    <t>@hqtrivia @readyplayerone All those 80s questions.  Sweet.</t>
  </si>
  <si>
    <t>@hqtrivia @readyplayerone Digdug??? https://t.co/KsAn4oXHRG</t>
  </si>
  <si>
    <t>It's a start!! #BuildThatWall !!#MAGA!!🇺🇸🇺🇸🇺🇸🇺🇸🇺🇸 https://t.co/6Qs2rtZoiL</t>
  </si>
  <si>
    <t>@brodytunes @realDonaldTrump Till it gets reinforced with concrete</t>
  </si>
  <si>
    <t>@seangallagher @hqtrivia it worked 👏👏👏😀😀</t>
  </si>
  <si>
    <t>@thehill So we are back to Russia now that Stormygate is a nothing burger?</t>
  </si>
  <si>
    <t>Most  #evangelicals realize that our government will never be a theocracy until the Millennial reign of Jesus Christ after the second coming.  Consequently we vote for whomever we feel will act in our best interest.  President Trump was an easy choice over HRC.</t>
  </si>
  <si>
    <t>@RyanAFournier Let's just be thankful that he is retired</t>
  </si>
  <si>
    <t>@BradSherman watching you on @IngrahamAngle. With all respect sir, what gives your state the right to boost its population with illegal immigrants and in turn inflating your state's power in congress and Electors. Our government is for Americans exclusively. Not illegals aliens.</t>
  </si>
  <si>
    <t>RT @mflynnJR: Would you risk your life to protect your second amendment right to keep and bear arms?</t>
  </si>
  <si>
    <t>@mflynnJR I am not a bad ass by any means but you have to stand for something.</t>
  </si>
  <si>
    <t>@hqtrivia I lost at the aol question I was never on aol messenger</t>
  </si>
  <si>
    <t>@Route66_1966 @hqtrivia Learned that by reading a Tom Clancy novel</t>
  </si>
  <si>
    <t>@TangilaLee *hear 😀😀😀</t>
  </si>
  <si>
    <t>RT @magathemaga1: Call your rep &amp;amp; tell them 2 shut down this bogus witch hunt!
⚡️Call Now ⚡️
Tell #MoLeg we will NOT tolerate a Political…</t>
  </si>
  <si>
    <t>Justice Stevens sure know how to whip up our base,😂  just write up an article to repeal the second amendment. #molonlabe. 🇺🇸 https://t.co/HGi4GEpYV6</t>
  </si>
  <si>
    <t>When cloning runs amok. https://t.co/DKt0eIw1sg</t>
  </si>
  <si>
    <t>@FOX2now Change of venue then.   Send it out to the sticks.</t>
  </si>
  <si>
    <t>@AP4Liberty Because they annoy liberals</t>
  </si>
  <si>
    <t>RT @CB618444: 👇Please follow Hunter...His sister a victim in Parkland, his dad harassed 4 wearing #Trump shirt while they grieve. Hunter de…</t>
  </si>
  <si>
    <t>@marcusdgilmore NASA</t>
  </si>
  <si>
    <t>@marcusdgilmore That question took me out.  But what do I know about fashion? #HQTrivia</t>
  </si>
  <si>
    <t>Fun bonus game tonight 10.5 mens #HQTrivia</t>
  </si>
  <si>
    <t>RT @Americasgarden: @GartrellLinda @denvernight Agreed &amp;amp; it’s time these students are exposed for who they are. You notice, it’s their plat…</t>
  </si>
  <si>
    <t>@Fuctupmind As I always suspected.</t>
  </si>
  <si>
    <t>#LiberalismIsAMentalDisease https://t.co/XNyr1NebXk</t>
  </si>
  <si>
    <t>RT @catdeeann: ‼️ #MoSen voters‼️
Claire supports Moms Demand Action NOT your #2A rights!
I’m glad we have a choice In #Midterms2018
I choo…</t>
  </si>
  <si>
    <t>@heyitsnayeliii Simple. Bill Clinton's affair happened while he was President. Trumps happened 12 years ago.</t>
  </si>
  <si>
    <t>@contrarymary197 @Breaking911 Care to elaborate on this point?  I am not seeing the logic.</t>
  </si>
  <si>
    <t>@ksol1460 @GOP Or maybe if all this happened when he was president.</t>
  </si>
  <si>
    <t>@Cernovich Wasn't he a democrat back then?</t>
  </si>
  <si>
    <t>#LiberalismIsAMentalDisorder 👇 https://t.co/MaiO3BQuoV</t>
  </si>
  <si>
    <t>@elikalil_ Hell no</t>
  </si>
  <si>
    <t>@RockyMtnFan We don't.</t>
  </si>
  <si>
    <t>@Astorix23 It politics. Not church.  Like Hillary was a more godly alternative.  Grow up.</t>
  </si>
  <si>
    <t>@RosarioKKYLIE Big difference. Clinton was getting it on in the Oval Office</t>
  </si>
  <si>
    <t>@AmandiOnAir 100%. We don't care.</t>
  </si>
  <si>
    <t>@Flomousy @Dieppe76France @realDonaldTrump Not really.  This will trend all night long as we mock the left then gone tomorrow. #NothingBurger</t>
  </si>
  <si>
    <t>RT @JJ7701: @thistallawkgirl This interview is a big #nothingburger                            RT IF YOU AGREE</t>
  </si>
  <si>
    <t>RT @atensnut: HEY 60 MINUTES @andersoncooper  HOW ABOUT HAVING ME ON To  Discuss my Book, “You’d Better Put Some Ice On That”. ....What Bil…</t>
  </si>
  <si>
    <t>#don't agree with Scott but must point out that #LiberalismIsAMentalDisorder https://t.co/kG88AqummG</t>
  </si>
  <si>
    <t>So overall a #nothingburger  #StormyDanielsDay. What a shocker.</t>
  </si>
  <si>
    <t>@IrisRimon Yes and I will again in 2020.  No regrets</t>
  </si>
  <si>
    <t>@IrisRimon You're the one choosing to watch.</t>
  </si>
  <si>
    <t>@Molly3186 @DLoesch @NRA Pretty much the same meaning though</t>
  </si>
  <si>
    <t>@KayHarvey00 @OfficeOfMike Prepare for a major letdown.</t>
  </si>
  <si>
    <t>@OfficeOfMike Will be at church attending a youth rally with real hope for our nation.  Not the Nazi wannabes.</t>
  </si>
  <si>
    <t>@Cognitivesense @Bornabrit1 @DLoesch @NRA We #shootback Rick.....</t>
  </si>
  <si>
    <t>#liberalismisamentaldisorder https://t.co/aoW98br8Rr</t>
  </si>
  <si>
    <t>RT @PrisonPlanet: Retweet if you're a Trump supporter who couldn't give a flying f**k about Stormy Daniels. #StormyDanielsDay</t>
  </si>
  <si>
    <t>@60Minutes We don't care!!!! #NothingBurger</t>
  </si>
  <si>
    <t>#StormyDanielsDay the next nothingburger.  Enjoy Libs. Nom nom nom</t>
  </si>
  <si>
    <t>@KyleKashuv I can ride my bike with no handlebars, no handlebars...</t>
  </si>
  <si>
    <t>It is only a matter of time before teachers start asking the indoctrinated Hitler Youth to report how many guns their parents own.  #2A #2ADefenders</t>
  </si>
  <si>
    <t>RT @NRA: A must watch. @KyleKashuv is one of the few Parkland students who is out there fighting to maintain the Second Amendment yet a lot…</t>
  </si>
  <si>
    <t>RT @JonCuccia1: thanks, but El Pass-o, Pass-e-dena...
#MolonLabe 🇺🇸
👌#MAGA 🇺🇸 https://t.co/NF9s7TsAhM</t>
  </si>
  <si>
    <t>@SimonSaysBooHoo @Patrickpetty23 @yamesyim @Emma4Change Reported and muting @simonsaysboohoo</t>
  </si>
  <si>
    <t>@LauraLoomer @KatTheHammer1 We are in a cold civil war now.  I have no idea when or if it turns hot.</t>
  </si>
  <si>
    <t>#MAGA, let this sink in. @Monetti4Senate https://t.co/FTK4ZeIV4J</t>
  </si>
  <si>
    <t>@npenzenstadler @USATODAY And no shots were fired. Right?</t>
  </si>
  <si>
    <t>RT @tkinder: Missouri U.S. Senate Candidate Tony Monetti on the 2nd Amendment - "The right to bear arms will not be infringed. Period." @Mo…</t>
  </si>
  <si>
    <t>#TodayIStandUpFor our President #MAGA2020 #KAG2020</t>
  </si>
  <si>
    <t>@costello_ilene @mikewickett @Traciejk @BarackObama Kind of hard to shoot at clay pigeons without a shotgun</t>
  </si>
  <si>
    <t>RT @Fractrdinsanity: OH boy oh boy look at Hogg giving that Democrat Nazi Salute. https://t.co/n2VCIno9eN</t>
  </si>
  <si>
    <t>#MarchForOurLives march all you want.  We're not giving up our guns</t>
  </si>
  <si>
    <t>RT @realDonaldTrump: “He who knows when he can fight and when he cannot, will be victorious.” -- Sun Tzu</t>
  </si>
  <si>
    <t>@mirandayaver @ACLU @mike_pence Ever notice how the ACLU never backs the NRA?  Wonder why....</t>
  </si>
  <si>
    <t>RT @realDonaldTrump: As a matter of National Security I've signed the Omnibus Spending Bill. I say to Congress: I will NEVER sign another b…</t>
  </si>
  <si>
    <t>@realDonaldTrump #IStandWithTrump</t>
  </si>
  <si>
    <t>@Joani47 @realDonaldTrump Automatic weapons are banned</t>
  </si>
  <si>
    <t>@SallyOMalley3 @realDonaldTrump Give a liberal an inch and.....</t>
  </si>
  <si>
    <t>@JJussely Got a link for senate?</t>
  </si>
  <si>
    <t>Abortion is murder #ExposeFakeClinics</t>
  </si>
  <si>
    <t>@ummmno21 It smarts but we gotta shake off.</t>
  </si>
  <si>
    <t>@chuckwoolery Negative.  We lost a battle today.  Primary the RINOs!!
#RedWave2018</t>
  </si>
  <si>
    <t>I thought he should have vetoed the omnibus bill.  But #IstandwithTrump 🇺🇸🇺🇸🇺🇸🇺🇸🇺🇸</t>
  </si>
  <si>
    <t>@AllmanReport @jallman971 😂😂😂😂😂😂😂😂😂</t>
  </si>
  <si>
    <t>@JacksonLeeTX18 #VetoTheBill #VetoTheBill #VetoTheBill #VetoTheBill #VetoTheBill #VetoTheBill</t>
  </si>
  <si>
    <t>Hijack all trending tags with #VetoTheBill #Maga @realDonaldTrump https://t.co/5gVMqsfVqD</t>
  </si>
  <si>
    <t>VETO THE OMNIBUS BILL!!! #NationalPuppyDay #VetoTheBill</t>
  </si>
  <si>
    <t>#growtogether and veto the Onmibus Bill. #VetoTheBill</t>
  </si>
  <si>
    <t>"congress oks $1.3" #vetothebill</t>
  </si>
  <si>
    <t>#BeingAnAdultIn4Words Veto the omnibus bill #VETOtheBILL</t>
  </si>
  <si>
    <t>RT @USAalwaysFirst: @POTUS #VetoTheBill
Please vote and retweet
#Trumpville</t>
  </si>
  <si>
    <t>RT @realDonaldTrump: I am considering a VETO of the Omnibus Spending Bill based on the fact that the 800,000 plus DACA recipients have been…</t>
  </si>
  <si>
    <t>#VetoTheBill @realDonaldTrump it's not #MAGA worthy</t>
  </si>
  <si>
    <t>@sarahkendzior What are y'all babbling about tonight?</t>
  </si>
  <si>
    <t>RT @PeteS77252077: @KMOV Laughable.
#MoLeg #Greitens #GreitensIndictment #MoSen #mogov 
Dismiss this nonsense!
@EricGreitens @CStamper_…</t>
  </si>
  <si>
    <t>@voxdotcom Now that we have your undivided attention......</t>
  </si>
  <si>
    <t>@AP @bearzus Agreed.  A bit of a war monger but it the liberal meltdown factor will epic.</t>
  </si>
  <si>
    <t>@marmom33 @AP It needs no confirmation</t>
  </si>
  <si>
    <t>@AP @bearzus There goes the neighborhood. 😂😂😂</t>
  </si>
  <si>
    <t>@waphotopromecom @realDonaldTrump VETO THE OMNIBUS BILL!!!!!!!!!!</t>
  </si>
  <si>
    <t>@cnni Quit crying....  ride it out. Yee Haw!!!!!</t>
  </si>
  <si>
    <t>@WFRVNews Not one bit.  A good time to buy. Hope my fund managers are on their toes</t>
  </si>
  <si>
    <t>Hey #MAGA and @MOGOP_Chairman   Look at this garbage coming out of St Louis county. https://t.co/48hQi3x3ps</t>
  </si>
  <si>
    <t>@SteveStenger What's up with that tirade against our president?   I am a Trump supporter. Am I not welcome in your county?</t>
  </si>
  <si>
    <t>No collusion. stop the #WitchHunt #kag2020 #MAGA https://t.co/3BztIPmimU</t>
  </si>
  <si>
    <t>@realDonaldTrump @VinceHarris VETO!!!!!!!!</t>
  </si>
  <si>
    <t>#OmnibusBill
#shutitdown
#ShutItDown</t>
  </si>
  <si>
    <t>RT @FoxNews: .@Jim_Jordan: "The American people didn't elect Democrats to control the United States Congress. They elected Republicans." ht…</t>
  </si>
  <si>
    <t>@realDonaldTrump @RepJasonSmith https://t.co/3SKNFYfdRl</t>
  </si>
  <si>
    <t>#omnibusbill SHUT IT DOWN!!! #FreedomCaucus</t>
  </si>
  <si>
    <t>RT @PatriotessWings: @realDonaldTrump @POTUS 
#VETO the #omnibus bill!
No deal for the liberal demons killing babies and this country!  👹🔪…</t>
  </si>
  <si>
    <t>RT @shesova: And TELL #MoLeg U WILL NOT tolerate witch hunt against @EricGreitens by shady STL  prosecutor!  #LEAVEGREITENS alone! #WITCHHU…</t>
  </si>
  <si>
    <t>"Mark Anthony Conditt" is a right wing terrorist.    And my speculation that he was affiliated with Antifa and ISIS was wrong.    Moving on.  #KAG2020 🇺🇸🇺🇸🇺🇸🇺🇸</t>
  </si>
  <si>
    <t>RT @MAGAALLTHEWAY: #TrumpTrain: please follow Tony Monetti @Monetti4Senate!  Tony is running for @clairecmc seat in #MOSen &amp;amp; he needs our s…</t>
  </si>
  <si>
    <t>@971FMTalk @jallman971 But will they stay moderate once they are in office?</t>
  </si>
  <si>
    <t>@magathemaga1 @EricGreitens @jallman971 @SpeakerTimJones @CStamper_ Outside attorneys illegally being paid 12k a month by Mosby 2.0.</t>
  </si>
  <si>
    <t>Big fan @seanhannity but you overplayed the goodwill and #austinbombing story this evening. Geraldo pretty much reopened up Capones vault tonight. But nights like these will make you appreciate the good ones. Happens to all of us #Hannity</t>
  </si>
  <si>
    <t>@tracey_vinsand Total waste time and Gardner is our own version of Balitmores Mosby.</t>
  </si>
  <si>
    <t>RT @kendylei: @FoxNews @SpeakerRyan End the witch hunt of Governor Eric Greitens!!</t>
  </si>
  <si>
    <t>@clairecmc @springfieldNL Y'all just keep focusing on Hawley..... #blindside 😎.</t>
  </si>
  <si>
    <t>@CREWcrew Witch hunt.  Whatever happened to waiting for the next election to vote?</t>
  </si>
  <si>
    <t>@mflynnJR Yes.  Antifa and ISIS working hand in hand to spread chaos.</t>
  </si>
  <si>
    <t>So who donates flares to goodwill.  Odd coincidence at best.</t>
  </si>
  <si>
    <t>@MOpoliticalguy @GovGreitensMO Not being paid a cent.</t>
  </si>
  <si>
    <t>Watching #hannity on DVR and now confused about the Goodall incident. Turns out it is not related?</t>
  </si>
  <si>
    <t>@AllmanReport @EricGreitens @jallman971 Gotta watch at 10.</t>
  </si>
  <si>
    <t>@magathemaga1 @PeteS77252077 @CStamper_ @EricGreitens #iamnotabot</t>
  </si>
  <si>
    <t>Stop the Greitens #witchhunt!! #moleg @971FMTalk #msc @jallman971 @tonycolombo971 @SpeakerTimJones</t>
  </si>
  <si>
    <t>@GregoryForNY2 I agree. It should be made against the law for a minor to possess a handgun at school.   Oh, wait....</t>
  </si>
  <si>
    <t>@mightjustgetlit It was, by a good guy with a gun</t>
  </si>
  <si>
    <t>@JrMoe_ SRO took care of it</t>
  </si>
  <si>
    <t>RT @rangerholton: RT NRATV ""It's clear that [Great Mills High School] officer saved lives. Where's the wall-to-wall coverage of that...Thi…</t>
  </si>
  <si>
    <t>@ssaammm_ They did in this case. #shootback</t>
  </si>
  <si>
    <t>@ldw106 I have faith that most SRO are competent. The #browardcowards were the exception to the rule.</t>
  </si>
  <si>
    <t>@SenatorHassan Abortion is murder.  Simple truth.</t>
  </si>
  <si>
    <t>@RobertoWinsSher Reports saying that armed school resource officer stopped this.  Any comments?</t>
  </si>
  <si>
    <t>@ABC7Brad Armed school resource officer stopped it.</t>
  </si>
  <si>
    <t>@eugenegu Neverless, our right to bear arms shall not be infringed.  Deal with it fake doc.</t>
  </si>
  <si>
    <t>RT @billysgirl0214: Missourians! Let's take the right road and #MakeMissouriGreatAgain!  @Monetti4Senate @Monettiisready #Monetti4Missouri…</t>
  </si>
  <si>
    <t>@Thomas1774Paine Another gun free zone in a state with tough gun laws.</t>
  </si>
  <si>
    <t>@cattmaxx11 @Monetti4Senate Well that's not very nice.</t>
  </si>
  <si>
    <t>@971FMTalk @jallman971 @toddstarnes @RandyToblerMD @Judgenap Good Morning @jallman971 @Pippy971 @kbailey971 Denize also (can't find your twitter 😄). 🚗💨🇺🇸 https://t.co/GT6TGEgqOA</t>
  </si>
  <si>
    <t>@rdhesselbrock @FoxNews @IngrahamAngle Abortion is murder. #justsaying</t>
  </si>
  <si>
    <t>@ProgressPolls @Heatherhamama Dems have overplayed their hand. As usual.</t>
  </si>
  <si>
    <t>@thehill And kids this is how the 45 minute war started #MolonLabe</t>
  </si>
  <si>
    <t>@Steelr95 @kim_donadio @THEREALMRSAZON @angelkisses48 @realDonaldTrump My analogy is that we are like two cats, circling each other, growling with ears pulled back.</t>
  </si>
  <si>
    <t>@ScottPresler @SAlberson Missouri #redwave2018 #fireclaire</t>
  </si>
  <si>
    <t>@KMOV Prosecutor is too busy on a Witchhunt, with  the help and blessing of @kmov, against our Governor to care about real crime. #witchhunt #GreitensIndictment #shutitdown</t>
  </si>
  <si>
    <t>How was Cruz treated at your school by staff and peers? #AskMSDStudents #walkupnotout</t>
  </si>
  <si>
    <t>@Snortwood @nancychando26 @Mystrie010 @kurteichenwald @FoxNews No sense in letting politics tear up your family.  I love my leftist parents and siblings despite our tendency view things from opposite perspectives.</t>
  </si>
  <si>
    <t>RT @realDonaldTrump: A total WITCH HUNT with massive conflicts of interest!</t>
  </si>
  <si>
    <t>RT @STLCrimeBeat: Hiring of Harvard professor to help prosecute Greitens was illegal, the governor claims https://t.co/2oHTO2aYHy</t>
  </si>
  <si>
    <t>@thehill *other states need to challenge... (twitter make edit option. )</t>
  </si>
  <si>
    <t>@thehill Deferring to reserve power of state's.  Arizona needs to fix this.  GOP others stated should challenge based on state recipitorial grounds.</t>
  </si>
  <si>
    <t>RT @Monetti4Senate: I am ready to debate the issues with my primary opponents. Let's make it happen @GOP @MissouriGOP @AP4Liberty @HawleyMO…</t>
  </si>
  <si>
    <t>@Monetti4Senate @GOP @MissouriGOP @AP4Liberty @HawleyMO @SykesforSenate We need this!</t>
  </si>
  <si>
    <t>RT @SykesforSenate: Let me help you here, Jeff. The Russian dossier was created by Hillary and her campaign. Mueller wasted 10 million inve…</t>
  </si>
  <si>
    <t>RT @RealJack: Apparently, James Comey said he’s writing a book about ethical leadership. 
That’s like Hillary Clinton writing a book on ho…</t>
  </si>
  <si>
    <t>RT @PeteS77252077: (81) P.S. - I NEED YOUR HELP!
I’m currently shadowbanned, and I want to INVITE YOU to RETWEET THIS as much as possible…</t>
  </si>
  <si>
    <t>@realtbecker @sarahkendzior We know how to handle ourselves.</t>
  </si>
  <si>
    <t>@sarahkendzior Snickers are unhealthier than guns.</t>
  </si>
  <si>
    <t>@tedlieu @realDonaldTrump #FireMueller #EndTheWitchHunt #ShutItDown</t>
  </si>
  <si>
    <t>She has not been wrong yet... https://t.co/3E98oAeXAI</t>
  </si>
  <si>
    <t>Drudge Poll,  I voted yes. Trump Russia bs has been pushed on us for 2 years now without a shred of evidence.</t>
  </si>
  <si>
    <t>@realDonaldTrump Ignore the trolls Mr President. You are making America great again!   We will keep America great in 2020 by giving you a second term!🇺🇸🇺🇸🇺🇸🇺🇸</t>
  </si>
  <si>
    <t>@Deadpool1973 @AP @muther_mettle And you opinion about General Mike Flynn?</t>
  </si>
  <si>
    <t>@AP Oooohhhh memos.  Whatever......🙄 #KAG2020</t>
  </si>
  <si>
    <t>@MAGAnoo @realDonaldTrump Tell that to General Flynn</t>
  </si>
  <si>
    <t>RT @Thomas1774Paine: FBI Official: FBI Agents Threatened Physical Harm to President Trump In Missing FBI Texts &amp;amp; Other “Frightening” Commun…</t>
  </si>
  <si>
    <t>@Comey Bring it!!!</t>
  </si>
  <si>
    <t>#ObamaGate is being exposed. Down with the Deep State!!!🇺🇸</t>
  </si>
  <si>
    <t>RT @realDonaldTrump: Andrew McCabe FIRED, a great day for the hard working men and women of the FBI - A great day for Democracy. Sanctimoni…</t>
  </si>
  <si>
    <t>@maddow Weak Rachel.....</t>
  </si>
  <si>
    <t>@realDonaldTrump #IStandWithFlynn</t>
  </si>
  <si>
    <t>RT @TheJordanRachel: @realDonaldTrump RT if you think Andrew McCabe's pension should go to @GenFlynn</t>
  </si>
  <si>
    <t>@ummmno21 The armed forces have to be pissed about the treatment that General Flynn has received.</t>
  </si>
  <si>
    <t>RT @rs32035: @NPR Now, if we can just get rid of the other thug -Mueller.</t>
  </si>
  <si>
    <t>@WayneC0RP @NPR Nah #MAGA is inspired tonight. And Flynn is vindicated</t>
  </si>
  <si>
    <t>@agingjoy @NPR Nope</t>
  </si>
  <si>
    <t>@halfacentaur @NPR #TheStorm is happening!!!!🌪⛈</t>
  </si>
  <si>
    <t>@NPR 😂😂😂😂😂😂😂😂😂😂😂😂😂👏😂👏👏👏👏👏👏👏👏👏👏👏👏👏👏👏👏👏👏👏👏👏👏👏😂😂😂😂😂😂😂😂😂😂😂😂😂😂😂😂😂😂😂😂😂😂👏👏👏👏👏👏👏👏👏👏👏👏👏👏👏👏😂😂😂😂😂😂😂👏👏👏👏👏👏👏👏👏👏👏👏👏👏👏👏👏👏👏👏👏😂😂😂😂😂😂😂😂😂😂😂😂😂😂👏👏👏👏😂😂😂😂😂😂😂😂😂👏👏👏👏👏👏👏👏👏</t>
  </si>
  <si>
    <t>@CNBC #DrainTheSwamp</t>
  </si>
  <si>
    <t>"Attorney General Sessions" is redeemed!!!!!! #TheStormIsHere https://t.co/1j7zorgBhg</t>
  </si>
  <si>
    <t>@gatewaypundit @dsm012 Down with deep state!!!</t>
  </si>
  <si>
    <t>RT @ummmno21: Remember this night. This is the night when justice finally started to win. It’s vindication. This firing represents everythi…</t>
  </si>
  <si>
    <t>Andrew McCabe #TheStormIsHere  #MAGA #KAG #qanon https://t.co/X2RK1GTHHP</t>
  </si>
  <si>
    <t>RT @Monetti4Senate: It’s time for Patriots Not Politicians to stand up for America. That’s why I, Tony Monetti, am tossing my hat into the…</t>
  </si>
  <si>
    <t>@AP Can you hear us now?</t>
  </si>
  <si>
    <t>@AP 🇺🇸🇺🇸🇺🇸🇺🇸🇺🇸🇺🇸🇺🇸🇺🇸🇺🇸🇺🇸🇺🇸🇺🇸🇺🇸🇺🇸🇺🇸🇺🇸🇺🇸🇺🇸🇺🇸🇺🇸🇺🇸🇺🇸🇺🇸🇺🇸🇺🇸🇺🇸🇺🇸🇺🇸🇺🇸🇺🇸🇺🇸🇺🇸🇺🇸🇺🇸🇺🇸🇺🇸🇺🇸🇺🇸🇺🇸🇺🇸🇺🇸🇺🇸🇺🇸🇺🇸🇺🇸🇺🇸🇺🇸🇺🇸🇺🇸🇺🇸🇺🇸🇺🇸🇺🇸🇺🇸🇺🇸🇺🇸🇺🇸🇺🇸🇺🇸🇺🇸🇺🇸🇺🇸🇺🇸🇺🇸🇺🇸🇺🇸🇺🇸🇺🇸🇺🇸🇺🇸</t>
  </si>
  <si>
    <t>@TravisAllen02 He's been with y'all this whole time.   Good riddance.  #MAGA!!!🇺🇸🇺🇸🇺🇸🇺🇸🇺🇸🇺🇸🇺🇸</t>
  </si>
  <si>
    <t>RT @4eSFszROfHro1qV: Andrew McCabe, a Target of Trump’s F.B.I. Scorn, Is Fired Over Candor Questions https://t.co/WqhtXXUjTg</t>
  </si>
  <si>
    <t>YES YES YES  #McCabeFired https://t.co/iY0cGx1aek</t>
  </si>
  <si>
    <t>@serena_reid @realDonaldTrump Two words for you:  General Flynn</t>
  </si>
  <si>
    <t>RT @calebparke: UPDATE: While it was previously reported the pro-@realDonaldTrump  student sustained minor injuries, a family friend told @…</t>
  </si>
  <si>
    <t>@PurpleKibby That is the trick.  And you raise a very good point.</t>
  </si>
  <si>
    <t>RT @SBJamiePeach: Missouri and America need @Monetti4Senate for the job! #KickMcCaskillOut #MoSen https://t.co/zv2PeDhJ27</t>
  </si>
  <si>
    <t>The students who refused to follow the herd and dared to support the #2a were the courageous ones.  #walkupnotout</t>
  </si>
  <si>
    <t>RT @DineshDSouza: Flynn lost his house. Why should Sessions let McCabe retire with a fat pension? https://t.co/GKtKAwE7r5</t>
  </si>
  <si>
    <t>RT @magathemaga1: When u begin 2 TRULY understand the #GreitensIndictment fully, you begin to realize it is a political witchhunt, and that…</t>
  </si>
  <si>
    <t>RT @SaraCarterDC: LATEST https://t.co/sTT3BtP62C</t>
  </si>
  <si>
    <t>Happy day before #StPatricksDay. Another great day to #walkupnotout  Be kind to each other!!!😀</t>
  </si>
  <si>
    <t>@ummmno21 As long as you don't black out and start photographing yourself in a pink hat praising Hillary.</t>
  </si>
  <si>
    <t>All you people making any connection between the #FIUBridgecollapse and Donald Trump are complete morons.</t>
  </si>
  <si>
    <t>What ever happened to "it takes a village? #walkupnotout</t>
  </si>
  <si>
    <t>@codepink @SenFeinstein Y'all are a special sort of stupid.</t>
  </si>
  <si>
    <t>@AlvinTheHipMonk In that case armed teachers should have returned fire.</t>
  </si>
  <si>
    <t>#walkupnotout did not end yesterday.  It is an ongoing thing. Make the world a better place today. Be kind, be responsible. #maga</t>
  </si>
  <si>
    <t>#ThursdayThoughts what walkout?</t>
  </si>
  <si>
    <t>@SpeakerTimJones @magathemaga1 @realDonaldTrump Would like him to have a public rally in the area...</t>
  </si>
  <si>
    <t>@MONTANANBALLER @Bud_Doggin @4Mischief @ShadyLady2500 @jobeeswing @JC_Not_J_Christ @support4trump12 @JohnCooper0610 @ArtimusRoma @spcclover0507 Done!!!</t>
  </si>
  <si>
    <t>@dan85895877 @rnchrissy25 #3 it comes in handy to protect our republic from skew totals resulting from non citizen votes (i.e. California in 2016)  reason enough to keep it.  Our founding fathers were smart.</t>
  </si>
  <si>
    <t>@BuckSexton Sheep in training.  Next "Please tell your teacher if Daddy or Mommy has any guns in your house"</t>
  </si>
  <si>
    <t>@marinmaven @musicsfun @scmgraphic @redwingschic @loisbeckett Nice way to slip semi automatic in there.  That language would ban most guns.</t>
  </si>
  <si>
    <t>@rnchrissy25 @HillaryClinton We are a true Republic, not a democracy. Take a civics class.</t>
  </si>
  <si>
    <t>Proud of mine for exhibiting critical thinking and invoking their right not to follow the herd.  "Sticking to their guns" as we say here in Missouri.  #MAGA #MolonLabe #KAG #2a #ShallNotInfringe 🇺🇸🇺🇸🇺🇸 https://t.co/HHH11Nb4FQ</t>
  </si>
  <si>
    <t>@SpeakerTimJones Though I commute to St Louis daily, I am happy to report that factories in the Mineral Area (aka Leadbelt) are booming right now. #HappyDaysAreHereAgain  @jallman971</t>
  </si>
  <si>
    <t>RT @RealKyleMorris: Absolutely despicable! Students at a Nashville school destroy their campus and tear down the American flag.
Sadly, thi…</t>
  </si>
  <si>
    <t>@WinterBourneTO Molon Labe  (Canadians.... 🙄) #MolonLabe #2a</t>
  </si>
  <si>
    <t>@AP4Liberty @RubinReport What time?</t>
  </si>
  <si>
    <t>President Trump is ALWAYS welcome in Missouri🇺🇸🇺🇸🇺🇸🇺🇸🇺🇸
#KAG #MAGA #Trump2020</t>
  </si>
  <si>
    <t>RT @DLoesch: Ignoring the plagued comparison, what happened to “no one wants your guns?" https://t.co/MOrP1Gc96l</t>
  </si>
  <si>
    <t>@mitchellbyars 16???</t>
  </si>
  <si>
    <t>@BettyBowers What about abortion clinics ?</t>
  </si>
  <si>
    <t>#NationalWalkoutDay  keeping my gun, planning to buy more. Enjoy your exercise.</t>
  </si>
  <si>
    <t>I am not blaming a third party but we have a Senate seat on the line and I am dreading the potential split after the primary.  The four contenders I called out can fight like cats and dogs from the nomination but once the dust settles we will only #fireclaire if we are united.</t>
  </si>
  <si>
    <t>@SandyLuke Well you got your 59th follower. Howdy</t>
  </si>
  <si>
    <t>Whether we support @HawleyMO @SykesforSenate @AP4Liberty or @Monetti4Senate. We CANNOT vote third party in November. #FireClaire #RedWave @jallman971 @SpeakerTimJones @971FMTalk #mcs @MOGOP_Chairman https://t.co/xeFKxWndCH</t>
  </si>
  <si>
    <t>RT @CoreyLMJones: With 97% of the vote reported in #PA18, #Lamb is up by 800 votes over #Saccone.
Every vote matter ladies and gentlemen.…</t>
  </si>
  <si>
    <t>@SandyLuke And now I am being trolled by a bot. Wonderful....</t>
  </si>
  <si>
    <t>Must state that my avatar is for #Teaparty not libertarian. 3rd parties are for suckers  #PA18</t>
  </si>
  <si>
    <t>It would appear that folks are polarized as ever.  #PA18</t>
  </si>
  <si>
    <t>Westmoreland, previously unknown is the most famous county in the USA tonight.  Poli geeks unite!!!!🇺🇸</t>
  </si>
  <si>
    <t>Only time that they NYT is worth visiting #PA18</t>
  </si>
  <si>
    <t>RT @ScottPresler: THIS IS CRITICAL:
Republicans have tried to vote for @Saccone4PA18 in Pennsylvania's 18th District and are being told th…</t>
  </si>
  <si>
    <t>@PPact @PPFA Quit murdering babies!!! PP, the REAL arms dealers. #AbortionIsMurder</t>
  </si>
  <si>
    <t>@SenatorMenendez Life thrives on the edge of chaos.  Maybe government will as well #MAGA 🇺🇸🇺🇸🇺🇸</t>
  </si>
  <si>
    <t>@desiderioDC Life thrives on the edge of Chaos.  #KAG2020 #TrumpTrain2020 #MAGA 🇺🇸🇺🇸🇺🇸🇺🇸🇺🇸🇺🇸</t>
  </si>
  <si>
    <t>#WalkoutWednesday address the symptom while #walkupnotout address the cause.</t>
  </si>
  <si>
    <t>@girlsreallyrule And y'all complain about our President??? Gotta admit he keeps us on our toes.  #KAG</t>
  </si>
  <si>
    <t>@thehill Cue the liberals, who relentlessly attacked this guy during confirmation, to lament this maneuver and cry Russia. Yawn...</t>
  </si>
  <si>
    <t>RT @SpeakerTimJones: Just wait...when #Mueller wraps up his dog &amp;amp; pony show w/ nary a word re: @realDonaldTrump - we are going to witness a…</t>
  </si>
  <si>
    <t>@SpeakerTimJones an example Total meltdown coming soon 👇 https://t.co/FdqiekbRxp</t>
  </si>
  <si>
    <t>RT @TomJEstes: Looks about right to me. Democrat overreaching is backfiring as always. cc: @JaneDueker https://t.co/8oxqnSdQhL</t>
  </si>
  <si>
    <t>@jcwolf @ChrisCuomo I agree but he is still getting my vote in 2020</t>
  </si>
  <si>
    <t>RT @ChrisCuomo: Might the president’s use of vulgar language affect your vote?</t>
  </si>
  <si>
    <t>@ChrisCuomo #Trump2020 #KAG2020</t>
  </si>
  <si>
    <t>@realDonaldTrump #LiberalismIsAMentalDisorder   They think Mueller is o. Their side. #qanon</t>
  </si>
  <si>
    <t>@RepAdamSchiff No collusion!!!! Keep America Great!!!!!!!!</t>
  </si>
  <si>
    <t>@chadkanera @AlRobins2015 @Thomas1774Paine I pray that this is accurate</t>
  </si>
  <si>
    <t>@AP4Liberty @HawleyMO @MissouriGOP Must admit that you are hitting it hard.  I do admire and appreciate your enthusiasm.</t>
  </si>
  <si>
    <t>#FireSomeonePolitely Mueller you are fired. NO COLLUSION!!!</t>
  </si>
  <si>
    <t>#UnlikelyTimeChangeEffects. NO COLLUSION!!!!!!! 🇺🇸🇺🇸🇺🇸🇺🇸🇺🇸</t>
  </si>
  <si>
    <t>The liberal deep state has attempted a soft coup against our president and y'all want our guns? I don't think so.  #NoCollusion #DIVIDEDSTATES</t>
  </si>
  <si>
    <t>@liberalgaveman #NoCollusion</t>
  </si>
  <si>
    <t>RT @realDonaldTrump: THE HOUSE INTELLIGENCE COMMITTEE HAS, AFTER A 14 MONTH LONG IN-DEPTH INVESTIGATION, FOUND NO EVIDENCE OF COLLUSION OR…</t>
  </si>
  <si>
    <t>@realDonaldTrump #KAG2020  #KAG2020 #KAGA Keep America Great ALWAYS!!!!!!!!!🇺🇸🇺🇸🇺🇸🇺🇸🇺🇸🇺🇸🇺🇸🇺🇸🇺🇸🇺🇸🇺🇸🇺🇸🇺🇸🇺🇸🇺🇸🇺🇸🇺🇸🇺🇸🇺🇸🇺🇸🇺🇸🇺🇸🇺🇸🇺🇸🇺🇸🇺🇸🇺🇸🇺🇸🇺🇸🇺🇸🇺🇸🇺🇸🇺🇸🇺🇸🇺🇸🇺🇸🇺🇸🇺🇸🇺🇸🇺🇸🇺🇸🇺🇸🇺🇸🇺🇸🇺🇸🇺🇸🇺🇸🇺🇸🇺🇸🇺🇸🇺🇸🇺🇸🇺🇸🇺🇸🇺🇸</t>
  </si>
  <si>
    <t>@MichaelDenesyk America First. Canada Never!  😄😛</t>
  </si>
  <si>
    <t>"House Intelligence Committee" 
Now comes the part where liberals start throwing a tantrum because they did not get their way. #maga #KAG2020 https://t.co/A594t2lVTx</t>
  </si>
  <si>
    <t>RT @lalaviealoha: Iowa Senate passes bill banning abortions once heartbeat is detected. 
Please R/T before Twit suppresses. Hope it spreads…</t>
  </si>
  <si>
    <t>RT @sowens9979: Move outside your comfort zone. #walkupnotout https://t.co/dpNjBf7FuO</t>
  </si>
  <si>
    <t>#walkupnotout</t>
  </si>
  <si>
    <t>This is how we end school shootings. #maga #kag @realDonaldTrump #2a https://t.co/GfOA3vc3Xe</t>
  </si>
  <si>
    <t>@KatieKormann @FOX2now 👏👏👏</t>
  </si>
  <si>
    <t>@IronmanMann @kkinmi How much more to wall off California coastal cities?</t>
  </si>
  <si>
    <t>@971FMTalk @jallman971 @gatewaypundit @RodneyBoyd @RobRains @Jeanie4Parkway @denysschaefer @kbailey971 @Pippy971 Happy Birthday Jamie!!!!</t>
  </si>
  <si>
    <t>@AP4Liberty Great, now Claire has ammunition 😂😂😂</t>
  </si>
  <si>
    <t>RT @magathemaga1: 1.  Sunday Morning #Greitens Thread 
Another day goes by, liberals, media &amp;amp; establishment forces continue to not ask log…</t>
  </si>
  <si>
    <t>@NWSStLouis grauple in Farmington</t>
  </si>
  <si>
    <t>Keep America Great!!! #trump2020!! #Trumptrain won't be stopped! ALL ABOARD!!!! 🇺🇸🇺🇸🇺🇸🇺🇸🇺🇸🇺🇸</t>
  </si>
  <si>
    <t>@iChrisSommers Pre election?  No problem. Post election?  Problem...</t>
  </si>
  <si>
    <t>RT @Bill_McClellan: McClellan: The Greitens affair is a matter for the electorate https://t.co/1JuAdSBEyU</t>
  </si>
  <si>
    <t>RT @RNRKentucky: I stand in support of .@POTUS 💯 Im fed up with fake news media, Liberals, Hollywood &amp;amp; all of their disrespect for our pres…</t>
  </si>
  <si>
    <t>RT @Str8DonLemon: @JaneDueker Testified to what ? 
She kept seeing him. She had another encounter with him SAME DAY. And kept seeing him.…</t>
  </si>
  <si>
    <t>RT @Str8DonLemon: Can throw crap at U but when asked a few simple question -- they call you a bot. Lol
If ex with the axe to grind shopped…</t>
  </si>
  <si>
    <t>@AP I agree with the NRA in spirit but I have a feeling that setting an age limit is a reserve power that goes to the state.</t>
  </si>
  <si>
    <t>@chuckwoolery Ha!  Bring it!!!</t>
  </si>
  <si>
    <t>Wow. Me.. and... McClellan agree. 😳#GreitensIndictment #moleg https://t.co/n61RaBAUeD</t>
  </si>
  <si>
    <t>@FoxNews @SebGorka @SebGorka wins twitter tonight!  Life thrives on the edge of chaos.</t>
  </si>
  <si>
    <t>@david_js_ @jeffsessions @realDonaldTrump @FoxNews Folks without guns threatening insurrection. Cute...... #MAGA</t>
  </si>
  <si>
    <t>@MichaelGarret9 @SaysHummingbird @Texchilipepper #MolonLabe</t>
  </si>
  <si>
    <t>@CassandraRules @chelstorrm Love to see Gateway Pundit get a hold of it.</t>
  </si>
  <si>
    <t>#2a #MolonLabe #nra https://t.co/63wBSwmSoX</t>
  </si>
  <si>
    <t>Liberals being liberals. The don't like a message and the only thing they can resort to is character assassination.  Pathetic. #1A https://t.co/S3k6Y8ycYn</t>
  </si>
  <si>
    <t>@slewzq @JaneDueker @SLULAW @SLUPresident You are under no obligation to defend yourself from some idiot trying to apply pressure on your employer to supress your #1a rights</t>
  </si>
  <si>
    <t>@OzarkRadioNews Ya think?  This whole thing is a sham. #moleg</t>
  </si>
  <si>
    <t>@grcfay @Str8DonLemon @magathemaga1 @CStamper_ @EricGreitens That's a fair request.</t>
  </si>
  <si>
    <t>@MissouriGOP @Str8DonLemon @clairecmc #FireClaire #RedWaveRising2018</t>
  </si>
  <si>
    <t>RT @MissouriGOP: .@clairecmc: your obstruction and job-killing record in Washington precludes you from pretending to care about working Ame…</t>
  </si>
  <si>
    <t>@ummmno21 Twitter Deplorables take Oklahoma!!!</t>
  </si>
  <si>
    <t>@CStamper_ Mosby 2.0 @FOX2now #moleg</t>
  </si>
  <si>
    <t>@LaurenTrager @EricGreitens @KMOV Next up a picture of his dog.</t>
  </si>
  <si>
    <t>RT @SaucierSadie: This is how we just celebrated Thank you @realDonaldTrump https://t.co/QiTZ8dYHuV</t>
  </si>
  <si>
    <t>RT @magathemaga1: @LaurenTrager @EricGreitens @KMOV They should ask how much he got for the tape from KMOV. 
Or why leak to the media and…</t>
  </si>
  <si>
    <t>@LaurenTrager @EricGreitens @KMOV The 400 jobs averaging $64,000 a year income each created in the bootheel is a much more important story.  But nah, let's focus on the #witchhunt instead.   #moleg #GreitensIndictment @SpeakerTimJones @971FMTalk #mcs</t>
  </si>
  <si>
    <t>RT @Brianontheair: Governor @EricGreitens: "Together, we got it done," referring to the Noranda/steel mill legislation. Greitens tells the…</t>
  </si>
  <si>
    <t>@kmoxnews @ScottCharton No that would be the ex husband himself.....</t>
  </si>
  <si>
    <t>@CNN @CNNOpinion @DavidAndelman #MAGA #TRUMP2020 #StillNotTiredOfWinning 🇺🇸🇺🇸🇺🇸🇺🇸🇺🇸</t>
  </si>
  <si>
    <t>@LaurenTrager @EricGreitens @KMOV Lauren,  This #WitchHunt is getting old.</t>
  </si>
  <si>
    <t>RT @magathemaga1: @LaurenTrager @EricGreitens @KMOV So somebody broke the law and it wasn’t @EricGreitens — this story is stupid. You actin…</t>
  </si>
  <si>
    <t>@mitchellreports Winning!!!! 🇺🇸🇺🇸🇺🇸🇺🇸🇺🇸🇺🇸#MAGA!!</t>
  </si>
  <si>
    <t>@rkdowner @TheoKlinkhammer @RWPUSA Or they could buy American steel. A local mill in my area just reopened. 500 jobs.</t>
  </si>
  <si>
    <t>Section 232 Proclamation gonna be signed #maga #AmericaFirst #trump2020</t>
  </si>
  <si>
    <t>@StephenKing It's a good thing the Gordie Lachance had a gun in Stand By Me.  Just sayin.......</t>
  </si>
  <si>
    <t>RT @JuliaHa68553652: @EricGreitens Stay Strong Governor Greitens, thank you for continuing building Missouri 🇺🇸</t>
  </si>
  <si>
    <t>RT @NRA: 🚨🚨Connecticut Governor Dannel Malloy just called tens of thousands of his constituents terrorists, retweet this to tell @GovMalloy…</t>
  </si>
  <si>
    <t>@SAKucharewicz #Trump2020!!!!!</t>
  </si>
  <si>
    <t>RT @AP4Liberty: I won't back down to gun grabbers: Register To Win A Free AR-15! 
https://t.co/5pM4Y0oue2
#2A #DefendTheSecond</t>
  </si>
  <si>
    <t>@erictheacktr @EricGreitens Quiet bot.</t>
  </si>
  <si>
    <t>@EricGreitens Don't give up Governor!!!</t>
  </si>
  <si>
    <t>No point conversing with the left. Who wants to be belittled, mocked, lectured and screamed at?  Why bother?  #DIVIDEDSTATES</t>
  </si>
  <si>
    <t>#DIVIDEDSTATES good thing #MAGA is united!!!🇺🇸🇺🇸🇺🇸</t>
  </si>
  <si>
    <t>RT @SykesforSenate: SEND THIS MESSAGE TO CONGRESS: Tell Mueller to do the right thing. Drop all false charges against Gen. Michael Flynn ➡️…</t>
  </si>
  <si>
    <t>@TrumpChess @AllmanReport @JAllman @POTUS @FOX2now I was there. Great to stand with fellow patriots. 🇺🇸🇺🇸🇺🇸</t>
  </si>
  <si>
    <t>@Anne_Rud @stltoday What's stupid about peacefully standing for what you believe?</t>
  </si>
  <si>
    <t>@ModernWeaponSys Thank you Ian. It was great!🇺🇸🇺🇸🇺🇸</t>
  </si>
  <si>
    <t>@smilon713 Went smooth and peaceful without a hitch.  Can't wait until the next one.</t>
  </si>
  <si>
    <t>@politico Not the worst idea. Not realistic though. #MAGA</t>
  </si>
  <si>
    <t>#TriggerAConservativeIn2Words back fire 😎</t>
  </si>
  <si>
    <t>Gun Rally Today. YEEHAWWWW!!!! #TriggerALiberalIn4Words</t>
  </si>
  <si>
    <t>@dylarturden @smilon713 Just trying to help.</t>
  </si>
  <si>
    <t>@Tremors37 @smilon713 Just exercising our #1a right to assemble. 🇺🇸🇺🇸🇺🇸</t>
  </si>
  <si>
    <t>@smilon713 Never seen a rifle fire with its chamber locked.</t>
  </si>
  <si>
    <t>Hillary done got Trumped!!!
 #TriggerALiberalIn4Words</t>
  </si>
  <si>
    <t>Jesus died for you
Jesus Christ loves you
God is not dead #TriggerALiberalIn4Words</t>
  </si>
  <si>
    <t>Hillary is a crook  #TriggerALiberalIn4Words</t>
  </si>
  <si>
    <t>RT @cbrown285: Join us in Jefferson County tomorrow to defend our #2A #MAGA  https://t.co/3MVf7HQJt2</t>
  </si>
  <si>
    <t>RT @KatTheHammer1: RETWEET: 
To show @GenFlynn we support him #Deplorable style! 
.@mflynnJR 
#WhoLeakedGenFlynn    
#DismissFlynnCase…</t>
  </si>
  <si>
    <t>RT @Monetti4Senate: The @NRA has gained 500,000 new members since the boycott began. Share &amp;amp; retweet if you are a proud NRA member. Here is…</t>
  </si>
  <si>
    <t>@kerberpr Just did.</t>
  </si>
  <si>
    <t>@kerberpr Driving past Rolla eastbound on 44.  I saw it #stlwx</t>
  </si>
  <si>
    <t>@Alyssa_Milano Visited the one in Branson today and bought ammo in your honor. https://t.co/oxnMuWrhqG</t>
  </si>
  <si>
    <t>RT @ChrisCoxNRA: I had a great meeting tonight with @realDonaldTrump &amp;amp; @VP. We all want safe schools, mental health reform and to keep guns…</t>
  </si>
  <si>
    <t>@stlpublicradio Will the house back off of this impeachment ploy once he is acquitted?</t>
  </si>
  <si>
    <t>@JaneDueker @EricEVickers @EricGreitens Being an outsider yourself, you sure seem 100% sure that everything said on the tape by a woman who was being coerced by her ex husband is total truth. I would figure someone in your line of work would be a little more skeptical.</t>
  </si>
  <si>
    <t>@SaraGonzalesTX Well they were all just kicking around ideas. Policy was not made today. No executive order signed.  Just a chat.</t>
  </si>
  <si>
    <t>@hammyporter @Missourinet Chickens they are....</t>
  </si>
  <si>
    <t>In case anyone is wondering why folks are really going after our Governor. @971FMTalk @SpeakerTimJones  @jallman971  @MyMoInfo #WitchHunt #Greitens #maga #StandAndFight https://t.co/2agAmC3ZOg</t>
  </si>
  <si>
    <t>@eseider @stltoday What photo?</t>
  </si>
  <si>
    <t>"Go Through Due Process Second" context, people. #maga!!🇺🇸🇺🇸🇺🇸</t>
  </si>
  <si>
    <t>@ThreeColumnsArt @KimGardnerSTL We can only hope...</t>
  </si>
  <si>
    <t>@MyMoInfo Yep, not voting for any RINO that calls for his resignation.</t>
  </si>
  <si>
    <t>@breakingstlnews #moleg  sort of an important detail here @SpeakerTimJones   Please pass along thanks. @jallman971 @971FMTalk  @MyMoInfo @MOGOP_Chairman @mogop</t>
  </si>
  <si>
    <t>@politicalwire Mosby 😂😂😂</t>
  </si>
  <si>
    <t>@stlpolitics Chickens 🐔🐔🐔🐔🐔🐔🐔🐔🐔🐔</t>
  </si>
  <si>
    <t>@andybankertv @EricGreitens @FOX2now @KPLR11 Seems like a sort of important detail</t>
  </si>
  <si>
    <t>Hey @jallman971 @971FMTalk @MyMoInfo Gop State Senator Gary Romaine's legal advisor just throwing more knives at our Governor. Who the hell are these people and what is in this for them? https://t.co/B8zDgnED4i</t>
  </si>
  <si>
    <t>@LucyTran_ Whether or not the State's evidence was collected legally might also be a compelling debate. Outside PIs???</t>
  </si>
  <si>
    <t>RT @ALLVETSADVOCATE: ATTENTION, FIRST REQUEST FOR REAL WORLD ASSISTANCE FOR A VETERAN IN DIRE NEED HE LOST HIS HOUSE AND ALL BELONGINGS TO…</t>
  </si>
  <si>
    <t>@P77601 @stltoday I like to pick on @stltoday but gotta give credit where it is due. They are doing a great job with these docs</t>
  </si>
  <si>
    <t>@KCMikeMahoney Most likely +20 Dems</t>
  </si>
  <si>
    <t>RT @LanceDKewley: @41actionnews 🇺🇸Missourians 🇺🇸
St. Louis circuit
 Att (SOROS FUNDED $200,000)Kim Gardner uses MICHIGAN investigation firm…</t>
  </si>
  <si>
    <t>@clairecmc Scared????</t>
  </si>
  <si>
    <t>@President1Trump @PatriotCarole45 @POTUS I'll chip $10 in for a memorial brick. Who's with me?????</t>
  </si>
  <si>
    <t>RT @JohnAMDG: @RoyBlunt @AmericanLegion I'm  veteran, and I'd like to know how much of our tax money did Kim Gardner spend hiring private i…</t>
  </si>
  <si>
    <t>Hope Hicks. #NOTHINGBURGER  nom nom nom. Time to end this Dems!!! You are wasting time and resources 😂😂😂😂😂#trump2020 #maga #LiberalismIsAMentalDisorder</t>
  </si>
  <si>
    <t>RT @KatTheHammer1: @GenFlynn 
RETWEET: 
To show support of this great patriot's 33+ years of service to this nation!!
#MAGA 💯
#DismissFl…</t>
  </si>
  <si>
    <t>@ScottWilsonSTL @MantovaniMark In that case, if I lived in St Louis County, he would get my vote.</t>
  </si>
  <si>
    <t>Thinking that our GOP lawmakers in the Missouri Capitol attacking Governor Greitens is the same breed of swamp critters that are attacking our President. #NeverTrumpers @jallman971 @971FMTalk @realDonaldTrump @EricGreitens</t>
  </si>
  <si>
    <t>@KashifMD If we did that the ninth circuit court would block the ban.</t>
  </si>
  <si>
    <t>@DeavensdDon Well to be honest, a teacher in a active shooter situation at a school would not have much of a choice. A worked out plan such as lockimg classroom door and keeping the gun aimed at it could give an armed teacher a tactical advantage; sure beats throwing a stapler.</t>
  </si>
  <si>
    <t>@Ladyblueclr @TuckerCarlson I suppose you think that #MorningJoe  is fair and balanced ?</t>
  </si>
  <si>
    <t>@FedEx Thank you #2A</t>
  </si>
  <si>
    <t>@ummmno21 Teachers would have tactical adavantage and element of suprise. Well maybe.</t>
  </si>
  <si>
    <t>@emilyjpritch Names?</t>
  </si>
  <si>
    <t>RT @TrumpChess: #WeThePeople see what you're trying to pull on MO Gov @EricGreitens Everyone is waking up to see the deep state dems trying…</t>
  </si>
  <si>
    <t>RT @gruffudd77: @TeamGreitens Gov Greitens, don’t you dare resign.  With hypocrisy of all the convicted felons in the State House and Senat…</t>
  </si>
  <si>
    <t>Kid jumped the shark today, overreaching to remain relevant. https://t.co/Wayp56upXf</t>
  </si>
  <si>
    <t>RT @realJohnnyZipp: Trump Administration Announces $260 Million in Family Planning Grants to Programs that Do Not Perform Abortions
https:…</t>
  </si>
  <si>
    <t>RT @LanceDKewley: @NewsTalkKSGF 🇺🇸Missouri🇺🇸
Missouri Senators Missouri will need proof actual crime committed not he said she said comment…</t>
  </si>
  <si>
    <t>RT @NRA: While the anti-gunners have stepped up their attacks on the NRA, many on the right are rushing to the NRA’s defense. So, to all of…</t>
  </si>
  <si>
    <t>RT @kwilli1046: Many Friends Are Becoming #NRA Members for the Very First Time. They Are Sick &amp;amp; Tired of the #FakeNews Anti-Gun &amp;amp; Anti-Cons…</t>
  </si>
  <si>
    <t>RT @carrieksada: I am an NEA member Kirsten. I want to be armed in my classroom. You never asked me. 
#SupportTheNRA 
#2A 
#MAGA https://t.…</t>
  </si>
  <si>
    <t>"The Supreme Court" ruling does not bother me one bit. Obama's ruling on  #DACA will eventually be overturned. But it has to go through lower courts first.  The move to expedite was worth a try....  #MAGA</t>
  </si>
  <si>
    <t>@ResistanceZone Meh, rule of law, lower courts gotta rule first, #SCOTUS will eventually overturn it. Worth a try to expedite. Win some lose some.</t>
  </si>
  <si>
    <t>RT @starknightz: Hantler: George Soros Declares War on the State of Missouri 
Bankrolling a prosecutor to go after a popular, conservative…</t>
  </si>
  <si>
    <t>Eat Jellyfish #ThingsIWillDoOnlyOnce</t>
  </si>
  <si>
    <t>@cabrobst @DTrumpPoll @realDonaldTrump Calling BS on the cops portion of your tweet.  Most schools have resource officers.  They don't go around shooting kids for sport.</t>
  </si>
  <si>
    <t>RT @mitchellvii: Chairman Nunes CRUSHES Schiff's Memo With Point by Point Refutation https://t.co/hh1NhGsTGn</t>
  </si>
  <si>
    <t>@NickDesideri @JoplinGlobe A lot of 💲💲💲 must be flowing in the background.</t>
  </si>
  <si>
    <t>@paulkrugman Ha!  St Louis is about to have its Mosby Moment</t>
  </si>
  <si>
    <t>@SamFPark @greitens @GOP Nah, we're good 😎</t>
  </si>
  <si>
    <t>@LJH1969 In my opinion, the GOP lawmakers dumping him is their way to pushback against tax cuts as they are trying to keep tax credits for corporations. They know that Parsons will support them.</t>
  </si>
  <si>
    <t>@LJH1969 RTW is a big gamble for him. It was the reason why Dems flipped the district in Jeff County this month. I think the impact of RTW will be lessened if his tax cuts come through and paychecks increase.</t>
  </si>
  <si>
    <t>@JWadeTaylor @NRA Over 5,000,000 of these in the United States. Sleep tight y'all. #MolonLabe</t>
  </si>
  <si>
    <t>@AmericanRN1027 @OneVoiceUS @texasnick310 @starkeyhearing Sorry. Didn't mean to frighten you</t>
  </si>
  <si>
    <t>@pashionhodges @JWadeTaylor @aaaaaaaaaaaronn @NRA Obviously you have never been in the Ozarks on New Year's Eve.   😎</t>
  </si>
  <si>
    <t>@JWadeTaylor @NRA Y'all are getting so triggered watching a chick shoot a gun. #PunIntended</t>
  </si>
  <si>
    <t>@OneVoiceUS @AmericanRN1027 @texasnick310 @starkeyhearing I'm one of those. Attack the #2A at your own peril.</t>
  </si>
  <si>
    <t>@NRA I stand with the NRA #standandfight #MolonLabe 🇺🇸🇺🇸🇺🇸</t>
  </si>
  <si>
    <t>RT @NBCNews: NEW: NRA releases statement on corporate partnerships:
"The loss of a discount will neither scare nor distract one single NRA…</t>
  </si>
  <si>
    <t>@danabrams Not newsworthy</t>
  </si>
  <si>
    <t>RT @realDonaldTrump: Our nation’s motto is IN GOD WE TRUST. This week, our nation lost an incredible leader who devoted his life to helping…</t>
  </si>
  <si>
    <t>@united American Airlines it is then.</t>
  </si>
  <si>
    <t>@LJH1969 The people who voted him in are pissed now. Personally I feel stabbed in the back by my legistators who have called for his removal.</t>
  </si>
  <si>
    <t>@Delta @Bonneykate Delta Airlines, supporting baby killers everywhere.</t>
  </si>
  <si>
    <t>@Delta I am frequent business traveler that will not be flying Delta anymore, ever.</t>
  </si>
  <si>
    <t>@VICE Plenty of folks in our church carry</t>
  </si>
  <si>
    <t>@SpeakerTimJones Et Tu Tim?</t>
  </si>
  <si>
    <t>RT @Keasmom: #BoycottBestWestern #BoycottWyndhamHotels, #BoycottAlamoRentaCar #BoycottNationalCarRental #BoycottEnterpriseRentACar #Boycott…</t>
  </si>
  <si>
    <t>RT @MarcCox971: On the Greitens case don’t overlook the fact that a biased prosecutor opened an investigation where there was no allegation…</t>
  </si>
  <si>
    <t>RT @sawyersdad17: @MissouriGOP Then you need to reign in your GOP Representatives to stop making calls for the Governor to resign until due…</t>
  </si>
  <si>
    <t>RT @benshapiro: Every Single Government Authority Failed In Parkland. And They Expect Americans To Forfeit Our Self-Defense Rights To Them?…</t>
  </si>
  <si>
    <t>@McGrawMilhaven @GovGreitensMO That's because I listen to @971FMTalk  and @jallman971    But since you asked I am still with @EricGreitens.</t>
  </si>
  <si>
    <t>@CollinRugg @AnonymTipster Boycott?!?  Heck I am fixin to join the #NRA</t>
  </si>
  <si>
    <t>RT @MtRushmore2016: @JackPosobiec Was STL Prosecutor Kim Gardner one of Soros picks? https://t.co/K4K1IyMLaK</t>
  </si>
  <si>
    <t>@GreekSTL @AllmanReport @jallman971 @971FMTalk @SpeakerTimJones @MarcCox971 @anniefreyshow Looks like we have a RINO infestation in the state house.</t>
  </si>
  <si>
    <t>My Sen Gary Romine forgot a basic concept of innocent til proven guilty calling on our Governor to resign ahead of any judicial proceedings. Sir, you have some explaining to do. Do you not want tax cuts for Missourians? @jallman971 #moleg @StLCountyRepub #GreitensIndictment</t>
  </si>
  <si>
    <t>RT @971FMTalk: @jallman971: Do they have a picture? B/C there's no indication they do.#GreitensIndictment #allman971</t>
  </si>
  <si>
    <t>RT @971FMTalk: @jallman971: Can you convict someone without a victim? Did the grand jury hear from the woman? https://t.co/r9giknDt3x #Grei…</t>
  </si>
  <si>
    <t>@971FMTalk @jallman971 Your caller with the ham sandwich analogy nailed it this morning.   I am putting my state Senator and Rep on notice that I expect them to let the judicial process run its course and not to waste any time or tax dollars with an impeachment process.</t>
  </si>
  <si>
    <t>@ChelseaKMerta @EricGreitens Playing the race card weakens an otherwise compelling statement.</t>
  </si>
  <si>
    <t>@I_AmAmerica You are on a roll tonight sir. 👏👏👏👏👏</t>
  </si>
  <si>
    <t>@mike_Zollo @TDennis17 Well you don't have the chainsaw attached.  Duh... 😀</t>
  </si>
  <si>
    <t>@stltoday Or one could use the post dispatch to line their bird cages.</t>
  </si>
  <si>
    <t>@bfoster_b @HeidiLiFeldman @ddale8 You must be misreading the situation.</t>
  </si>
  <si>
    <t>RT @NRA: .@DLoesch thank you for being the voice of over 5 Million #NRA members. https://t.co/WDz7vujXfM</t>
  </si>
  <si>
    <t>RT @realDonaldTrump: What many people don’t understand, or don’t want to understand, is that Wayne, Chris and the folks who work so hard at…</t>
  </si>
  <si>
    <t>I would not consider myself a gun nut as I own only one pump shotgun. There is some room for discussion  But I totally support the #2a and will stand against any attempt to repeal or severely water it down #MAGA #MolonLabe 🇺🇸🇺🇸🇺🇸</t>
  </si>
  <si>
    <t>@HunterMG__ Where was this?  Glad folks are counter protesting. I do not condone racist remarks or violence.</t>
  </si>
  <si>
    <t>RT @marcorubio: Banning all semi-auto weapons may have been popular with the audience at #CNNTownHall, but it is a position well outside th…</t>
  </si>
  <si>
    <t>@marcorubio Question for those wanting more #guncontrol. Do you consider all semi automatic firearms to be "assault weapons"?</t>
  </si>
  <si>
    <t>@cjwonderwoman @realDonaldTrump Any executive action targeting our #2A would most likely be immediately overturned by our judicial branch.</t>
  </si>
  <si>
    <t>@KellyRWriting The man could find a cure for cancer and the left find something to complain about.</t>
  </si>
  <si>
    <t>@CNNPolitics I'll be watching @seanhannity #Hannity.</t>
  </si>
  <si>
    <t>RT @ScottPresler: If you lost followers during the #TwitterLockOut, comment below. 
Follow each other &amp;amp; use this as an opportunity to grow…</t>
  </si>
  <si>
    <t>Lost a couple hundred followers last night. ☹️#trumptrain #TwitterLockOut</t>
  </si>
  <si>
    <t>RT @oldhippiebroad: This is what is happening. Democrats tee up DACA and then run off to push gun control that will do nothing. It’s all ab…</t>
  </si>
  <si>
    <t>@MMFlint Blah blah blah whatever..  you are not getting our guns.</t>
  </si>
  <si>
    <t>#BoycottFlorida?? 😂😂. As a one time resident I can assure you that you won't be missed.</t>
  </si>
  <si>
    <t>@3788MG @AP We don't care. 🇺🇸🇺🇸🇺🇸</t>
  </si>
  <si>
    <t>RT @seanhannity: THIS IS IT? Mueller charges a Dutch, London-based attorney for misleading his never-ending witch hunt.... https://t.co/Yzd…</t>
  </si>
  <si>
    <t>@GeoffRBennett Hmm these response just proves the saying "give a liberal an inch..."</t>
  </si>
  <si>
    <t>@SixieGames Nothing hateful there. I wish them all the best of luck in life.</t>
  </si>
  <si>
    <t>I feel for the #ParklandStudents but I will never surrender my #2A rights and will join the #NRA just to spite those seeking to ban guns 🇺🇸🇺🇸🇺🇸 #MolonLabe #maga</t>
  </si>
  <si>
    <t>@surfcityshrink @Emma4Change @cameron_kasky I have survived parenting three teens. They learn from me. Not vice versa.</t>
  </si>
  <si>
    <t>@CNN I wouldn't say that #Mueller is reaching for straws on his witch hunt, but I am starting to get nervous about all the Tetris I played as a kid. Was I colluding with Russia? https://t.co/7Yp9KV6V3X</t>
  </si>
  <si>
    <t>RT @CharlieDaniels: If America ever falls it will not be an outside power or more powerful nation, there is no such thing.
It will be the t…</t>
  </si>
  <si>
    <t>@luvleebutterfly Spooky.</t>
  </si>
  <si>
    <t>RT @luvleebutterfly: If anyone wants to see proof of
#MSM directing the narrative &amp;amp;
how their "bot" spread the message
Search "Russian 'Bot…</t>
  </si>
  <si>
    <t>RT @WalshFreedom: Democrats mock your God. Democrats mock your God-given rights. Democrats mock your support for the traditional family. De…</t>
  </si>
  <si>
    <t>RT @Education4Libs: Like or RT if you think trained teachers should have the right to be armed.</t>
  </si>
  <si>
    <t>"Russian 'Bot' Army Pounced" looks like a bot attack. Bots calling out Bots??   Odd 😎😎😎</t>
  </si>
  <si>
    <t>@erikrenner @Alyssa_Milano  https://t.co/vAozXr7SgG</t>
  </si>
  <si>
    <t>@cindyrf2010 @Alyssa_Milano And that Damned Declaration of Independence. Right?</t>
  </si>
  <si>
    <t>@JimmyCabralShow @Alyssa_Milano @Mikel_Jollett And herein lies the slippery slope. First AR15s. Now Handguns. Give the left an inch they'll take a mile.</t>
  </si>
  <si>
    <t>@MaritimeGirl13 @lovescribe @realDonaldTrump @CNN @AmandaMNelson @S_Caldwell_MPH An automatic rifle.</t>
  </si>
  <si>
    <t>RT @toddstarnes: We can't fault the children's ideology - they don't know any better. They've been brainwashed by government-funded indoctr…</t>
  </si>
  <si>
    <t>#TrumpColluded with #WeThePeople to kick the crap out of the Democratic Party in 2016. We are gonna do it again this November and yet again in 2020 #MAGA 🇺🇸🇺🇸🇺🇸🇺🇸🇺🇸🇺🇸🇺🇸🇺🇸🇺🇸🇺🇸🇺🇸🇺🇸🇺🇸</t>
  </si>
  <si>
    <t>@lovescribe @realDonaldTrump @CNN @AmandaMNelson @S_Caldwell_MPH 😂😂😂 mass-shooting gun 😂😂😂</t>
  </si>
  <si>
    <t>@JW4Resistance @JoyAnnReid I was not aware that the #NRA sold guns.  Oh yeah, it doesn't.</t>
  </si>
  <si>
    <t>A pity that the #FBI is wasting resources investigating the #NRA instead of following up on potential mass shooters #gunsense #2A https://t.co/lhIxeAHC12</t>
  </si>
  <si>
    <t>#LiberalismIsAMentalDisorder 👇 https://t.co/ShguifU5Ji</t>
  </si>
  <si>
    <t>@Gluetwo Coming from someone with a whole 5 followers? No bot here. Just a Missourian that would like to see the real issue addressed.  School shootings are the symptom of an underlying issue.</t>
  </si>
  <si>
    <t>Marching is neat but I am curious if the marcher will put their words into actions and confront the real issues that that bring about school shooting s on a daily basis. Bullying, loneliness, isolation.  #MarchForOurLives</t>
  </si>
  <si>
    <t>I LOVE MY STATE and I am not being sarcastic.  The story seems to suggest that the coach was going to be sensitive until some triggered liberal went unhinged. https://t.co/VsL76GAMJ2</t>
  </si>
  <si>
    <t>@Jobrny So you are against JROTC marksmanship teams?</t>
  </si>
  <si>
    <t>I am a humble owner of a mere 20 gauge pump shotgun but seems like the gun grabbers will eventually want it too. I reckon it is time to join #NRA.</t>
  </si>
  <si>
    <t>#LiberalismIsAMentalDisorder 👇 https://t.co/kiPFjopuiD</t>
  </si>
  <si>
    <t>@AutismWithFries @MiniMachy55 Air rifle team. BB guns. Chill</t>
  </si>
  <si>
    <t>Madame President.   Hahahahahaha #FakePresidentFacts</t>
  </si>
  <si>
    <t>RT @janetthiede: Joshua Thiede, my son, is missing in Los Angeles since Monday. He was working on a business plan to start a shoe line.  He…</t>
  </si>
  <si>
    <t>@WhyNeverTrump @NRA Our founding fathers thought so.  #justsaying #SecondAmendment</t>
  </si>
  <si>
    <t>I don't agree with the premise of the #MarchForOurLives. But it is your #1A right so march on!  Just remember that your right to assemble is protected by the right to bear arms. #2A 🇺🇸🇺🇸🇺🇸</t>
  </si>
  <si>
    <t>RT @realDonaldTrump: General McMaster forgot to say that the results of the 2016 election were not impacted or changed by the Russians and…</t>
  </si>
  <si>
    <t>Right here is why I support our president. #MAGA!!!!! 🇺🇸🇺🇸🇺🇸 https://t.co/JaGHlzRlMB</t>
  </si>
  <si>
    <t>@TomArnold Lawn darts are not protected by the Constitution.</t>
  </si>
  <si>
    <t>@MJRiley210 @SpeakerTimJones @realDonaldTrump Can't release something that never existed.</t>
  </si>
  <si>
    <t>RT @SpeakerTimJones: HEADLINE OF THE YEAR: “FBI Failed to Prevent Russia from Interfering in Election 2016...&amp;amp; @realDonaldTrump Had Nothing…</t>
  </si>
  <si>
    <t>RT @marycjoyce2: John Kerry’s State Dept. Approved Visas for Mueller’s 13 Russian Operatives https://t.co/zxvKszk2z9 via @truthfeednews IT'…</t>
  </si>
  <si>
    <t>#NationalSchoolWalkout yes. Stay home and play call of duty instead. L.. #LiberalLogic</t>
  </si>
  <si>
    <t>@ClaireAllan Yes you are.</t>
  </si>
  <si>
    <t>@AmbrishSaxena12 They are responsible for negligence but the blame falls on the shooter himself</t>
  </si>
  <si>
    <t>@thistallawkgirl #shootback</t>
  </si>
  <si>
    <t>@Independent Because people are generally morons</t>
  </si>
  <si>
    <t>@lib_monster @UnknownBigF @Liv4theBeat I am a little late to this party but there is no way that 38 states will ever agree to repeal the #2a.</t>
  </si>
  <si>
    <t>@SInow #TrumpCurse #MAGA 🇺🇸🇺🇸🇺🇸🇺🇸🇺🇸🇺🇸</t>
  </si>
  <si>
    <t>@MikeShehan @Real_Mittens Uh yeah, wasn't the one that had to be mail ordered?</t>
  </si>
  <si>
    <t>@AP @wolfster308 Ya think? 😂😂😂😂😂😂😂😂😂😂😂😂😂😂😂😂😂😂😂😂😂😂😂😂😂😂😂😂😂😂😂😂😂😂😂😂😂😂😂😂😂😂😂😂😂😂😂😂😂😂😂😂😂😂😂😂😂😂😂😂😂😂😂😂😂😂😂😂😂😂😂😂😂😂😂😂😂😂😂😂😂😂😂😂😂😂😂😂😂😂😂😂😂😂😂😂😂😂😂😂😂😂😂😂😂😂😂😂😂😂😂😂😂😂😂😂😂😂#fakenews</t>
  </si>
  <si>
    <t>@AP4Liberty Agree with 100% on this one</t>
  </si>
  <si>
    <t>RT @realDonaldTrump: Russia started their anti-US campaign in 2014, long before I announced that I would run for President. The results of…</t>
  </si>
  <si>
    <t>@Alyssa_Milano You may need to have one of your Armed bodyguards read the story to you.  Clearly you are not comprehending it. 😂</t>
  </si>
  <si>
    <t>@CREWcrew Unwitting being the keyword. Enjoy your #nothingburger</t>
  </si>
  <si>
    <t>#LiberalismIsAMentalDisorder 👇 https://t.co/v70uSPjUAh</t>
  </si>
  <si>
    <t>Good Morning @SpeakerTimJones   Always nice to hear you on @971FMTalk on my morning commute 🇺🇸🇺🇸🇺🇸🇺🇸🇺🇸. PS Damon is a moron.....</t>
  </si>
  <si>
    <t>RT @RepSwalwell: Should Congress ban assault weapons?</t>
  </si>
  <si>
    <t>@IndigenousDancy @JSsnds @jonmichaelolse1 @RepAdamSchiff Hoax</t>
  </si>
  <si>
    <t>@johnpool1234 @Mompreneur_of_3 Kinda looks like a vagina hat.  Besides the whole white supremacy story is a hoax</t>
  </si>
  <si>
    <t>RT @JN31621: Local law enforcement: No ties between militia and Florida high school shooter https://t.co/QzPLCUK5ye Russian bots fool Ameri…</t>
  </si>
  <si>
    <t>Excuse the language but the Republic of Florida connection is bullshit. Smear job against #MAGA by @AP aka #faknews #NikolasCruz #parkland</t>
  </si>
  <si>
    <t>SCOTUS TRUMPS  #NoMuslimBanEver</t>
  </si>
  <si>
    <t>@jfkgofish @BostonHam14 They are semi automatic.</t>
  </si>
  <si>
    <t>@AP Sources????</t>
  </si>
  <si>
    <t>@TheLoveBel0w Obama would have lectured us.....</t>
  </si>
  <si>
    <t>@NPR Defunded yet?  Tick tock</t>
  </si>
  <si>
    <t>@DrPaula_99 @realDonaldTrump Interesting how you are blaming our president this attack.  What is your logic exactly?🤔</t>
  </si>
  <si>
    <t>#AaronFeis should have been allowed to carry. RIP hero</t>
  </si>
  <si>
    <t>Bully control now!!! #GunReformNow</t>
  </si>
  <si>
    <t>Sure the Florida shooting will be discussed all day long. I believe the answers for this issue needs to be found in the local school boards as opposed to the Comgress. Let's find the real root. @jallman971 @971FMTalk @tonycolombo971 @MarcCox971 @anniefreyshow</t>
  </si>
  <si>
    <t>@alexauquillas @PrimeWolves @grvyrd88_ How was he treated in school? By both staff and other students ?</t>
  </si>
  <si>
    <t>@_cingraham Probably not the best idea.</t>
  </si>
  <si>
    <t>RT @DWCmagazine: We have had the Second Amendment since our inception. 
Why have there not been mass shootings through out our history?…</t>
  </si>
  <si>
    <t>@battletested5 Right on all three accounts..  Revelence on the other hand....</t>
  </si>
  <si>
    <t>RT @WalshFreedom: 1) End Gun-Free Zones.
2) Train and arm staff and teachers.
3) Protect our children.
#Parkland #StonemanDouglas</t>
  </si>
  <si>
    <t>RT @realDonaldTrump: Just spoke to Governor Rick Scott. We are working closely with law enforcement on the terrible Florida school shooting.</t>
  </si>
  <si>
    <t>RT @MacHammondMin: Join us in praying for those affected by the tragic, school shooting in Parkland, Florida this afternoon. We pray for wi…</t>
  </si>
  <si>
    <t>#GunControlNow I think not. Arm the teachers.</t>
  </si>
  <si>
    <t>@MarkKenn4Trump Worse than Columbine</t>
  </si>
  <si>
    <t>RT @realDonaldTrump: My prayers and condolences to the families of the victims of the terrible Florida shooting. No child, teacher or anyon…</t>
  </si>
  <si>
    <t>Ironic that a lot of folks in the  #Parkland hashtags a cursing God, cursing prayers and at the same time wondering why things have gotten so bad. #prayforournation #PrayForParkland and parents please keep your guns locked up. #MAGA!!🇺🇸🇺🇸🇺🇸</t>
  </si>
  <si>
    <t>#ToImmigrantsWithLove I appreciate    all the effort you took to obtain work visas or to become citizens of our great nation. Welcome. 🇺🇸🇺🇸🇺🇸
 But for anyone who is here illegally,  GO HOME!!!!</t>
  </si>
  <si>
    <t>#stltraffic sucks.  It's just rain people !!!</t>
  </si>
  <si>
    <t>Keto waffles.  I could get used them.</t>
  </si>
  <si>
    <t>@CassandraRules Back in the day when stamps were paper, people would send kids in with $1 stamps to by quarter candy and horde the collective change from several purchases  to buy beer and cigarettes.</t>
  </si>
  <si>
    <t>Thank you. I will look it up.</t>
  </si>
  <si>
    <t>@AGSchneiderman @POTUS Well we will win in SCOTUS.</t>
  </si>
  <si>
    <t>@jimwimpress1 @RealCandaceO @PBS @NPR $440 million should be able to give us a yuge #MilitaryParade and a couple hundred miles of wall.  🇺🇸🇺🇸</t>
  </si>
  <si>
    <t>@FOX2now So he is not an immigrant, but an illegal alien.  Story is not clear, but that is what I gather reading between the lines...</t>
  </si>
  <si>
    <t>@JoyAnnReid @msdwallace #LiberalismIsAMentalDisorder #maga 🇺🇸🇺🇸🇺🇸🇺🇸🇺🇸🇺🇸🇺🇸🇺🇸🇺🇸🇺🇸🇺🇸🇺🇸🇺🇸🇺🇸</t>
  </si>
  <si>
    <t>@TDennis17 Fear not, that battle was fought and won by the Dems over the state level issue of Right To Work.  It does not translate into Blue shift in Missouri.</t>
  </si>
  <si>
    <t>@CassandraRules Jim Hoft was promoting your story on @971FMTalk @jallman971 this morning. Intriguing. 👏👏👏</t>
  </si>
  <si>
    <t>@nytimes Gonna have to research and find out what the NYTs initial opinion of Hitler was back in the 30s.</t>
  </si>
  <si>
    <t>@TIME Captain Tripps</t>
  </si>
  <si>
    <t>@ummmno21 Any chick that is into FGM can't be right in the head.</t>
  </si>
  <si>
    <t>@sarabowden33 Keep it up!!  Right there with you 5 days in.</t>
  </si>
  <si>
    <t>RT @realDonaldTrump: So many positive things going on for the U.S.A. and the Fake News Media just doesn’t want to go there. Same negative s…</t>
  </si>
  <si>
    <t>On a rare non political tweet.  One week into Keto lifestyle change. Crashed it big time last night. Shaking it off and moving forward!!  Ketosis &amp;gt; gluocose #keto #LowCarb 🚫🍕🍟🍭🍩🍿</t>
  </si>
  <si>
    <t>RT @KatTheHammer1: RETWEET: 
IF YOU SUPPORT JOHN KELLY! https://t.co/dSDYBpxJGO</t>
  </si>
  <si>
    <t>RT @realDonaldTrump: The Democrats sent a very political and long response memo which they knew, because of sources and methods (and more),…</t>
  </si>
  <si>
    <t>@CharlieDaniels Any chance that you will be joining lynard Skynard in St. Louis 8/18?   Would love to see you</t>
  </si>
  <si>
    <t>RT @realDonaldTrump: Peoples lives are being shattered and destroyed by a mere allegation. Some are true and some are false. Some are old a…</t>
  </si>
  <si>
    <t>RT @ReneeCarrollAZ: #SaturdayMorning
#satchat
#ISTANDWITHGENFLYNN
Thank you .@GenFlynn for your service! You are a True American Hero!…</t>
  </si>
  <si>
    <t>@JoyAnnReid Blah Blah Blah Blah Blah Blah Blah Blah Blah Blah Blah Blah Blah Blah Blah Blah Blah Blah Blah Blah Blah Blah Blah Blah Blah Blah Blah  Blah Blah Blah Blah Blah Blah Blah Blah Blah Blah Blah Blah Blah Blah Blah Blah Blah Blah Blah Blah Blah Blah Blah Blah Blah Blah Blah</t>
  </si>
  <si>
    <t>RT @charlesmaynar10: Triggered liberals in full force tonight #DemocraticMemo https://t.co/39tk5DmXNU</t>
  </si>
  <si>
    <t>@tedlieu @FBI @TheJusticeDept @POTUS @realDonaldTrump Rrrrriiigggggghhhhhttttttttt👌</t>
  </si>
  <si>
    <t>@JulianAssange Well that is better than circling the firing line which is the GOPs usual MO....</t>
  </si>
  <si>
    <t>RT @TyEducatingLibs: #BlackHistoryMonth won’t teach you about Hiram Rhodes Revels, our country’s very first black congressman...
Because h…</t>
  </si>
  <si>
    <t>@realDonaldTrump #MAGA!!!🇺🇸🇺🇸🇺🇸🇺🇸🇺🇸</t>
  </si>
  <si>
    <t>The Tea Party is not dead, but it is evolving. Stakes have changed and our number one priority is crushing the #bluewave in 2018.  Plans change in the fog of war, even this cold civil war we are now in. #RedWave2018 #RedWaveRisingNov2018 🇺🇸🇺🇸🇺🇸🚫👣🐍</t>
  </si>
  <si>
    <t>@CassandraRules Just thinking several moves ahead.  The blue wave is a real threat and November is approaching fast. But hey, that just my opinion.</t>
  </si>
  <si>
    <t>@CassandraRules He just slammed the brakes on #maga right as we were gaining serious momentum.   Time will tell but currently I see this as snatching defeat from the jaws of victory.</t>
  </si>
  <si>
    <t>@SpeakerTimJones @EricGreitens Good point, maybe the tax cuts will win them over. I, being part of a multinational corporation, really do not have a dog in the RTW fight, but have noticed that even the most conservative politicians from my neck of the woods, like Kevin Engler, tread lightly on the matter.</t>
  </si>
  <si>
    <t>@SpeakerTimJones RTW was a major, if not the only, factor in this election. Not my district but I commute through it daily. Nearly every car (truck) with has union, anti right to work, or a ripoff stickers on their cars.  We may want to rethink the state GOP plank on this issue</t>
  </si>
  <si>
    <t>RT @realDonaldTrump: As long as we open our eyes to God’s grace - and open our hearts to God’s love - then America will forever be the land…</t>
  </si>
  <si>
    <t>@MightyResistor @ItssBryce @LindaKWS1 @HillaryClinton Benghazi yep that was really something</t>
  </si>
  <si>
    <t>@GregShugar @realDonaldTrump @realDonaldTrump lives in YOUR head rent free.  (Did I get your right?) #liberalism</t>
  </si>
  <si>
    <t>RT @realDonaldTrump: Our founders invoked our Creator four times in the Declaration of Independence. Our currency declares “IN GOD WE TRUST…</t>
  </si>
  <si>
    <t>EPA's Scott Pruitt is being bashed by brainwashed sheep who believed the  fear induced rants of their high school science teachers.  #thebiglie #globalwarmingisahoax</t>
  </si>
  <si>
    <t>#WhyImSingle I'm not, but my wife must have the patience of Job.. 😂</t>
  </si>
  <si>
    <t>@Bonchesva @JulianSvendsen #UraniumOne ??</t>
  </si>
  <si>
    <t>RT @JackBaileyUSA: After the testimony of the #UraniumOne informant yesterday, there is more than enough evidence to launch a criminal inve…</t>
  </si>
  <si>
    <t>@56andstillhere #UraniumOne</t>
  </si>
  <si>
    <t>Overall a great day for #MAGA 🇺🇸</t>
  </si>
  <si>
    <t>RT @seanhannity: BREAKING NEWS: FBI informant on Uranium One Breaks Silence Today via @SaraCarterDC 
https://t.co/CGg5cg36lZ</t>
  </si>
  <si>
    <t>RT @joshdcaplan: Says it all. https://t.co/LY7I4Pvrk6</t>
  </si>
  <si>
    <t>@thehill #ObamaKnewAboutTheCoup #ObamaWantsToKnowEverything</t>
  </si>
  <si>
    <t>@sonnylebythebay In all circumstances we were provoked...</t>
  </si>
  <si>
    <t>Wondering how many  liberal snowflakes were triggered in the making this photo?  #militaryparade #MAGA https://t.co/9og2gdlG76</t>
  </si>
  <si>
    <t>@TheRealBawllz @OpieRadio @realDonaldTrump France?  Bastille Day??</t>
  </si>
  <si>
    <t>RT @thebradfordfile: Add 'Military Parades' to the list of things liberals want to ruin:
- Dr. Seuss
- Halloween
- Boy Scouts
- Monuments
-…</t>
  </si>
  <si>
    <t>RT @_ROB_29: BLM sniper KILLS 5 cops in Dallas? 
Obama &amp;amp; Dems- defended the BLM movement at officers memorial service.
@POTUS ❤️America!…</t>
  </si>
  <si>
    <t>RT @darrenelwood: @realDonaldTrump Go for it #militaryparade https://t.co/ROMz3zqhAn</t>
  </si>
  <si>
    <t>Geez Fly a B-2 Bomber over Busch Stadium for the all star game and Obama, people go wild. (I was there; it was cool).  @realDonaldTrump wants a  #militaryparade and people freak out. What gives? #LiberalismIsAMentalDisorder 
🇺🇸🇺🇸🇺🇸🇺🇸🇺🇸🇺🇸🇺🇸🇺🇸🇺🇸🇺🇸🇺🇸🇺🇸</t>
  </si>
  <si>
    <t>@DC4Hope @NBCNews @TeaPainUSA @NBCNightlyNews Perfect timing was needed to deflect from #ObamaGate #ObamaKnewAboutTheCoup #ObamaWantsToKnowEverything #Memo2 #GrassleyMemo #textmessages 
Ain't gonna work by the way.  🇺🇸</t>
  </si>
  <si>
    <t>@Lolsonrealtor @NBCNews @NBCNightlyNews That would explain the fraud in the Alabama Srnate election.</t>
  </si>
  <si>
    <t>@toddstarnes 8 hours of Pelosi.  Eek!!!!</t>
  </si>
  <si>
    <t>RT @KGBTechnoFrog: On those 400 pages of newly released Page and Strzok texts...
They thought John Kasich was gay. lol. https://t.co/jfLS0…</t>
  </si>
  <si>
    <t>RT @1776Stonewall: The FBI informant who spent 6 years Undercover and documented and has audio tapes exposing the uranium one scandal, has…</t>
  </si>
  <si>
    <t>RT @Golfinggary5221: #WeThePeople ARE WITH #Trump!
ALL IN TOTAL COMMITMENT!
Can we all affirm that?
Can we eliminate any ego or bitterness…</t>
  </si>
  <si>
    <t>RT @JulianAssange: Emails reveal that Michael Isikoff, whose Yahoo News article based on  the "Steele dossier" was used to obtain the FISA…</t>
  </si>
  <si>
    <t>RT @SprayCanAnn: pg 25 (end)
"A Majority Staff Report of the
Committee on Homeland Security and Governmental Affairs
United States Senate
S…</t>
  </si>
  <si>
    <t>RT @SprayCanAnn: 21-24 of 25
"A Majority Staff Report of the
Committee on Homeland Security and Governmental Affairs
United States Senate
S…</t>
  </si>
  <si>
    <t>RT @SprayCanAnn: 17-20 of 25
"A Majority Staff Report of the
Committee on Homeland Security and Governmental Affairs
United States Senate
S…</t>
  </si>
  <si>
    <t>RT @SprayCanAnn: 13-16 of 25
"A Majority Staff Report of the
Committee on Homeland Security and Governmental Affairs
United States Senate
S…</t>
  </si>
  <si>
    <t>RT @SprayCanAnn: 9-12 (of 25)
"A Majority Staff Report of the
Committee on Homeland Security and Governmental Affairs
United States Senate…</t>
  </si>
  <si>
    <t>RT @SprayCanAnn: 5-8 (of 25)
"A Majority Staff Report of the
Committee on Homeland Security and Governmental Affairs
United States Senate
S…</t>
  </si>
  <si>
    <t>RT @SprayCanAnn: 1-4  of 25
"A Majority Staff Report of the
Committee on Homeland Security and Governmental Affairs
United States Senate
Se…</t>
  </si>
  <si>
    <t>@Jory_Nal @adamcbest Antifa punks vs the US Armed Forces.  Not much of a match.</t>
  </si>
  <si>
    <t>RT @RealJamesWoods: Obama emerging more and more as a key presence in 2016 election interference... https://t.co/gw5U6OB2AW</t>
  </si>
  <si>
    <t>@USAMilitaryUSA Late for the parade 🇺🇸🇺🇸🇺🇸</t>
  </si>
  <si>
    <t>@jallman971 @tonycolombo971 https://t.co/irrxpmFxt6</t>
  </si>
  <si>
    <t>RT @MattWalshBlog: Under Obama, the White House was lit with rainbow colors to show gay pride. I really don't see a problem with this White…</t>
  </si>
  <si>
    <t>@anniefreyshow @MarcCox971 @971FMTalk Let's not forget adulterous FBI lovers' text messages. #ObamaKnewAboutTheCoup #obamgate #maga 🇺🇸🇺🇸🇺🇸</t>
  </si>
  <si>
    <t>RT @wikileaks: Email reveals that Michael Isikoff, whose Yahoo News article based on the "Steele dossier" was used to obtain the FISA inter…</t>
  </si>
  <si>
    <t>RT @LATiffani1: Treason. Pathological liar. 
#ObamaKnew 
#ObamaKnew
#ObamaKnew
#ObamaKnewAboutTheCoup 
#ObamaKnewAboutTheCoup
#ObamaKnewAbo…</t>
  </si>
  <si>
    <t>RT @LindaSuhler: We always knew EXACTLY where this would go -- to the very top of the pile of fascist, anti-Constitutional crap that Obama…</t>
  </si>
  <si>
    <t>#ObamaKnew everything. #obamagate #LockThemAllUp</t>
  </si>
  <si>
    <t>@Jack_Slater @realDonaldTrump 'Mercia !!!!!!! 🇺🇸🇺🇸🇺🇸🇺🇸🇺🇸</t>
  </si>
  <si>
    <t>@ShafPatel @realDonaldTrump Dude. You are in Canada.  Shut up and keep your dang geese on your side of the border.</t>
  </si>
  <si>
    <t>@renato_mariotti @realDonaldTrump A candidate for attorney general who is willing to overlook the law in the name of partisan politics.  How funny😂😂😂</t>
  </si>
  <si>
    <t>@JulianG922 @realDonaldTrump No, the upper echelons of the FBI attempting to subvert the will of #WeThePeople is embarrassing.</t>
  </si>
  <si>
    <t>RT @realDonaldTrump: NEW FBI TEXTS ARE BOMBSHELLS!</t>
  </si>
  <si>
    <t>#militaryparade Our President controls the news cycle as usual.  Did not even have to tweet this time. #LiberalismIsAMentalDisorder</t>
  </si>
  <si>
    <t>RT @Corp125Vet: Night Brothers and Sisters 👊🇺🇸🙏 https://t.co/c7fwtRFyNB</t>
  </si>
  <si>
    <t>RT @michaelbeatty3: 🔥NOT BREAKING🔥
#AdamSchiff IS A BIGGER IDIOT 
THAN YOU THOUGHT🤣
#StupidSchiff #Democrats 🇷🇺#RUSSIA 🇺🇸#MAGA
https://t.co…</t>
  </si>
  <si>
    <t>RT @SpeakerTimJones: Looking for #RussianCollusion ? We’ve found it! =&amp;gt; @BarackObama #ClintonCrimeFamily #SteeleDossier https://t.co/azWWvS…</t>
  </si>
  <si>
    <t>@SpeakerTimJones @BarackObama And they call us Deplorable.....</t>
  </si>
  <si>
    <t>RT @brithume: This is the (mostly) unredacted version of the Grassley/Graham criminal referral re: Christopher Steele. It mirrors the findi…</t>
  </si>
  <si>
    <t>RT @PoliticalShort: More unredacted portions of Grassley-Graham memo released. The FISA applications are either materially false in claimin…</t>
  </si>
  <si>
    <t>@realJohnnyZipp More evidence of deception on the Fisa warrant.</t>
  </si>
  <si>
    <t>@jscandiffwow @CNN Well we DO have military flyovers at sporting events.  Those are cool.</t>
  </si>
  <si>
    <t>A military parade would be nice. But of course not during a shut down. The troll factor on such a move is 100+. Snowflake meltdown 😂🇺🇸#militaryparade</t>
  </si>
  <si>
    <t>"Love To See A Shutdown". I sense a disturbance in the force; like millions of liberals being #triggered at once 😂😂😂😂😂😂😂😂😂😂😂😂😂😂😂😂😂😂😂😂😂😂😂😂😂😂😂😂😂😂😂😂😂😂😂😂😂😂😂😂😂😂😂😂😂😂😂😂😂😂😂😂😂</t>
  </si>
  <si>
    <t>@ChuckDanser Stocks up 500 points 😁</t>
  </si>
  <si>
    <t>@OneSpirit77 You can try in 2020</t>
  </si>
  <si>
    <t>@exoticgamora @ybbkaren @BryanDawsonUSA @SpockResists @StormResist @B52Malmet @CaptainsLog2O18 @wesley_jordan @WomanResistorNC @mcspocky @TheSWPrincess So you support MS-13?</t>
  </si>
  <si>
    <t>@justinsink @POTUS @PressSec It's called Art of the Deal.  Aka #MAGA!!!🇺🇸</t>
  </si>
  <si>
    <t>LIberals and Dems be forgetting the beat down they got last time they shut the government down. #MAGA #BuildTheWall 🇺🇸🇺🇸🇺🇸🇺🇸 https://t.co/q89h6Gb6tB</t>
  </si>
  <si>
    <t>John Kelly is AWESOME!!!!!👏👏👏👏👏🇺🇸🇺🇸🇺🇸🇺🇸🇺🇸
#MAGA!!!!</t>
  </si>
  <si>
    <t>RT @Monetti4Senate: @MaryJudahh One more thing.  If there are any so called girl friends or mistresses, present yourselves now as we are ti…</t>
  </si>
  <si>
    <t>#LiberalismIsAMentalDisorder 👇 https://t.co/r86SZfkKtD</t>
  </si>
  <si>
    <t>Dem memo  Let's see it!!!</t>
  </si>
  <si>
    <t>RT @Monetti4Senate: Fellow Patriots, it would be my privilege &amp;amp; honor to serve, again. Support a Veteran for office. Help me DEFEAT the est…</t>
  </si>
  <si>
    <t>RT @GartrellLinda: RT if you support patriot @GenFlynn
Now we know he was illegally wiretapped so ALL charges should be dismissed
Let  our…</t>
  </si>
  <si>
    <t>But that was a question. ( cool gif though) 😎</t>
  </si>
  <si>
    <t>#StockMarketCrash #deepstate meddling?</t>
  </si>
  <si>
    <t>RT @silentrunning12: *BROADSIDE SALVO ACROSS THE BOW*
GRASSLEY GIVES WRAY 24 HRS TO REMOVE REDACTIONS FROM SENATE JUDICIARY COMMITTEE MEMO…</t>
  </si>
  <si>
    <t>@JasonHalle 300 more points and we will have a correction... so what?</t>
  </si>
  <si>
    <t>@NYinLA2121 Can you explain it in terms of ammo?  Asking for a friend 😎</t>
  </si>
  <si>
    <t>@SteelValleySpec Interesting....</t>
  </si>
  <si>
    <t>RT @AMccloggan01: ☝️Attention: Lib💩 @RepAdamSchiff @NancyPelosi @SenSchumer and the rest of the traitorous bunch @DNC:
✔WE WILL NOT STAND…</t>
  </si>
  <si>
    <t>RT @Kira_Media: #StockMarket didn’t “crash.” Not even close.
Dow Jones was ⬇️ 4.6% today.
Worst ever 1-day percentage ⬇️: 22.6% (in Oct ‘8…</t>
  </si>
  <si>
    <t>@blackc2004 @realDonaldTrump My goodness.. you sold????</t>
  </si>
  <si>
    <t>Cramer calls the stock market's 1600-point plunge a 'flash crash' https://t.co/ppxvE78PRE</t>
  </si>
  <si>
    <t>@B75434425 Ride it out. #buylowsellhigh</t>
  </si>
  <si>
    <t>The #deepstate is trying to crash the #Dow .   How cute..... #DrainTheSwamp #maga</t>
  </si>
  <si>
    <t>@tonycolombo971 @MarcCox971 House of cards coming down. #DeepStateInPanic #MAGA 🇺🇸🇺🇸</t>
  </si>
  <si>
    <t>RT @tonycolombo971: This week's @MarcCox971 Twitter Poll wants to know... Now that we've seen the #FISAMemoRelease how big of a deal do YOU…</t>
  </si>
  <si>
    <t>RT @seriousserb: Dossier author Steele wrote another anti-Trump memo; was fed info by Clinton-connected contact, Obama State Department htt…</t>
  </si>
  <si>
    <t>RT @KatTheHammer1: @GenFlynn  
@FlynnJack515  
@BarbaraRedgate 
Ok #Deplorables let's show @GenFlynn &amp;amp;Family how we trend!! #DismissFlynnC…</t>
  </si>
  <si>
    <t>RT @ByronYork: New: Dossier author Steele wrote another anti-Trump memo; was fed info by Clinton-connected contact and Obama State Departme…</t>
  </si>
  <si>
    <t>@RepAdamSchiff @BasedAmerican Fight fight fight fight #maga #resist https://t.co/T043yH7rMa</t>
  </si>
  <si>
    <t>RT @realDonaldTrump: Little Adam Schiff, who is desperate to run for higher office, is one of the biggest liars and leakers in Washington,…</t>
  </si>
  <si>
    <t>@CNNedition 😂😂😂😂😂</t>
  </si>
  <si>
    <t>@NWSStLouis *winter wx</t>
  </si>
  <si>
    <t>@NWSStLouis Farmington still getting winter ex tmmw?  Timing?  Concerned pm commute from STL. thx</t>
  </si>
  <si>
    <t>@JackPosobiec @StarryKnight47 Water cannons and rubber bullets please</t>
  </si>
  <si>
    <t>RT @jcpenni7maga: 🚨🚨🚨ALERT🚨🚨🚨
#Wikileaks Huge Exposure: These Are The 6 Republicans #Hillary bribed during the campaign to get Trump to lo…</t>
  </si>
  <si>
    <t>@toddstarnes #BoycottSuperBowl2018</t>
  </si>
  <si>
    <t>@DEFCONWSALERTS Ya think?  Only reason why ole Kim is in power.</t>
  </si>
  <si>
    <t>#BoycottSuperBowl #MAGA !!!!! 🇺🇸</t>
  </si>
  <si>
    <t>@POLITICOMag People are acting like we were one big happy country until 2016. The truth is that the left was living in a dreamland ignoring the folks on the right.  Can you hear us now? #MAGA #TheGreatAwakening  🇺🇸 https://t.co/gU0owtK8xs</t>
  </si>
  <si>
    <t>Remember two weeks ago when this guy was crying like a little girl😂😂😂😂 https://t.co/vwqk7zg476</t>
  </si>
  <si>
    <t>@Monetti4Senate Give me a holler when you are in Farmington area.</t>
  </si>
  <si>
    <t>@oliverdarcy This concept of #ColdCivilWar has been being discussed for quite a who on twitter.  Mainly by the folks on the left.</t>
  </si>
  <si>
    <t>RT @charliekirk11: Comey under oath March 2017: 
"In regards to the President's tweets about him being wiretapped I have no information th…</t>
  </si>
  <si>
    <t>@DonaldJTrumpJr #ISTANDWITHGENFLYNN #IstandwithTrump</t>
  </si>
  <si>
    <t>RT @DonaldJTrumpJr: House Intel Memo Reveals Deeply Politicized Obama Administration https://t.co/MWpw76CTHo</t>
  </si>
  <si>
    <t>#thememo is a clear indictment of the #DeepState and the swamp.  #istandwithtrump</t>
  </si>
  <si>
    <t>RT @RealJamesWoods: When Hillary Clinton screeched that “if that f***ing bastard wins we all hang from nooses,” I assumed it was a hangover…</t>
  </si>
  <si>
    <t>RT @realDonaldTrump: This memo totally vindicates “Trump” in probe. But the Russian Witch Hunt goes on and on. Their was no Collusion and t…</t>
  </si>
  <si>
    <t>@dbongino Been this way for a while. I stand with #MAGA!!! 🇺🇸🇺🇸🇺🇸 🚫👣🐍</t>
  </si>
  <si>
    <t>@leoheart256 @oh_cue_m @JesseKane295 @mari4bob @PrisonPlanet So what if there is a connection?  It does not change the fact that tearing down the deep state is a good thing #MAGA🇺🇸</t>
  </si>
  <si>
    <t>@SpecNewsSA Not at all.</t>
  </si>
  <si>
    <t>@DiscoverBlogNY Uh. No I didn't.</t>
  </si>
  <si>
    <t>Anyone freaking out over a one day drop in the Dow is a moron. Same for  even a bad week.  We are long over due for a correction. Enjoy the ride.</t>
  </si>
  <si>
    <t>@babbi_r Thank you😀</t>
  </si>
  <si>
    <t>@RealBoomBaby There are no coincidences 😎 #thestorm</t>
  </si>
  <si>
    <t>@babbi_r I am confident that whomever is managing my 401k was bargain shopping today. It's all good.   Life thrives on the edge of chaos. #TakeAFinanceClass  #Maga #fisamemo #dow #BuyLowSellHigh</t>
  </si>
  <si>
    <t>@TeresaCulhane Arrest the head of the executive branch for enforcing the law. Ooooookkkkk #liberalismisamentaldisorder</t>
  </si>
  <si>
    <t>@SpeakerTimJones @BarackObama @HillaryClinton @971FMTalk It will be interesting to hear Dave's take on this.</t>
  </si>
  <si>
    <t>RT @EpochTimes: The key findings of the memo, and the bigger picture. #MemoDay
Link to high-res map: https://t.co/NYlQ9Y7WmJ
Link to articl…</t>
  </si>
  <si>
    <t>A quick set of bullet points. Memo cliff notes for the rest of us. #maga #memoday 🇺🇸🇺🇸🇺🇸👏👏👏 https://t.co/knpqCjYhss</t>
  </si>
  <si>
    <t>@luvman33wife @realDonaldTrump Buy low...sell high...</t>
  </si>
  <si>
    <t>@Comey The 4th amendment is kind of a big deal... #justsaying #FISAMemoRelease</t>
  </si>
  <si>
    <t>So we now know that President Obama weaponized both the IRS and the DOJ.  Wonder what's next?  #MemoDay</t>
  </si>
  <si>
    <t>RT @GOPChairwoman: It’s clear. Democrats hate this President more than they love this country.</t>
  </si>
  <si>
    <t>#FISAMemo releases #Dow plunges. #DeepStateInPanic</t>
  </si>
  <si>
    <t>@NBCNews Looks like a good time to buy.</t>
  </si>
  <si>
    <t>@NancyPelosi @realDonaldTrump Spoken like a true fascist.</t>
  </si>
  <si>
    <t>RT @JackPosobiec: Hi @Comey! Remember when you said this under oath? https://t.co/GHMopeuvnK</t>
  </si>
  <si>
    <t>RT @GovMikeHuckabee: No way to downplay this.  Forget your political views-when highest law enforcement officials use false info paid for b…</t>
  </si>
  <si>
    <t>RT @TomFitton: Memo:  No FISA warrant without Dossier.  Which means no Russia collusion story without Dossier.  Which means no Mueller spec…</t>
  </si>
  <si>
    <t>#MemoDay the whole investigation on our president was founded on fake news and violations of the 4th amendment. The revolutionary war was fought over this type of crap. #maga 🇺🇸🇺🇸🇺🇸</t>
  </si>
  <si>
    <t>RT @SpeakerTimJones: This makes #Watergate look like jaywalking. #MemoDay #FisaAbuseMemo https://t.co/Djy3HY0cfW</t>
  </si>
  <si>
    <t>RT @PoliticalShort: MEMO RELEASED: "Andrew McCabe confirmed that no FISA warrant would have been sought from the FISA Court WITHOUT the Ste…</t>
  </si>
  <si>
    <t>RT @RepMarkMeadows: THREAD: Because through all the "memo" news and headlines, it's critical to remember why this issue is important and wh…</t>
  </si>
  <si>
    <t>@DaShanneStokes Nice deflection.  Whatever helps you get through the day 😂😂😂</t>
  </si>
  <si>
    <t>RT @NYtoKYChristian: #MemoDay #ReleaseTheMemo https://t.co/sQRYMcSAqe</t>
  </si>
  <si>
    <t>@JoyAnnReid Tick tock. #MemoDay</t>
  </si>
  <si>
    <t>Good Morning All  #MemoDay #TheStormIsHere @971FMTalk @jallman971 @SpeakerTimJones @RepJasonSmith https://t.co/mcwOOnm66V</t>
  </si>
  <si>
    <t>RT @Thomas_195813: A wild animal is most vicious when injured and cornered because it feels it is fighting for its very life.
The Deep Stat…</t>
  </si>
  <si>
    <t>RT @ChelleLBI: #PunxsutawneyPhil from PA #ThursdayThoughts
#ReleaseTheMemo #FullofSchiff https://t.co/491N2Uc7da</t>
  </si>
  <si>
    <t>RT @TrumpsDC: There is not one Republican out there that would have fought as hard for us as Donald Trump.</t>
  </si>
  <si>
    <t>Good night Dems and sleep tight. Big day tomorrow #ReleaseTheMemo #TheStormIsUponUs #MAGA 🇺🇸</t>
  </si>
  <si>
    <t>RT @SpeakerTimJones: Exactly. What Americans are witnessing right now is “The Swamp” @ CODE RED HIGH ALERT DEFCON 1. #ReleaseTheMemo #Drain…</t>
  </si>
  <si>
    <t>@NancyPelosi @DevinNunes #ReleaseTheMemo</t>
  </si>
  <si>
    <t>@obviousreally @W7VOA @POTUS Digging in.  Y'all ready? 😎 #ReleaseTheMemo #TheStormIsUponUs</t>
  </si>
  <si>
    <t>@ummmno21 I trust you carry?</t>
  </si>
  <si>
    <t>@unscriptedmike Best case scenario for the Dems. https://t.co/ZEgzqGoork</t>
  </si>
  <si>
    <t>@axios If that is the case the Dems deserve an Oscar for the for they are throwing.  #ReleaseTheMemo</t>
  </si>
  <si>
    <t>With out redaction👏👏👏👏👏 https://t.co/QCIVCsgxd0</t>
  </si>
  <si>
    <t>RT @DannyTeri: @RepMattGaetz @strmsptr #wewantthenames</t>
  </si>
  <si>
    <t>RT @RepMattGaetz: Today I went to the Intelligence Committee to review the changes in the FISA memo and I can say there are no reasons to b…</t>
  </si>
  <si>
    <t>@thehill Whatcha all so afraid of?  #ReleaseTheMemo</t>
  </si>
  <si>
    <t>@RepSwalwell @HouseGOP @realDonaldTrump #WeThePeople demand that the government #ReleaseTheMemo now!!!   🇺🇸🇺🇸🇺🇸</t>
  </si>
  <si>
    <t>#FullofSchiff</t>
  </si>
  <si>
    <t>#ReleaseTheMemo https://t.co/InAp9oOBSK</t>
  </si>
  <si>
    <t>RT @RealJohnSandor: @FoxNews confirms that President Trump has Declassified the memo with minor technical Corrections requested by the FBI.…</t>
  </si>
  <si>
    <t>RT @RepStevenSmith: "Disregarding" whom? The FBI leadership NAMED in the memo? Ridiculous spin on a memo the media hasn't even seen yet. #R…</t>
  </si>
  <si>
    <t>Hashtag or no hashtag we got this!! 
DEEP STATE IN PANIC!!!!!!!!🇺🇸🇺🇸🇺🇸 #DeepStateInPanic</t>
  </si>
  <si>
    <t>RT @SebGorka: And the original FISA warrant needs to be released. https://t.co/aJuBB1C0BB</t>
  </si>
  <si>
    <t>RT @RicVaDude: #RedStateRising #RedWaveRising #USFreedomArmy #LessGovMoreFun #TPUSA #tcot #CCOT #tgdn #MAGA2018 #REDWAVERISING2018 #Trump20…</t>
  </si>
  <si>
    <t>RT @AlRobins2015: We Must Be Strong
We Must Be Vigilant-DJT 2016
#FreedomDay 🇺🇸
#ReleaseMemoDay 🇺🇸</t>
  </si>
  <si>
    <t>#BlackHistoryMonth 
DEEP STATE IN PANIC!!!! 
Free at last, Free at last 
#MAGA #ReleasetheMemo 🇺🇸🇺🇸🇺🇸</t>
  </si>
  <si>
    <t>So common cause is Not for gov transparency.... https://t.co/Zi9Dj6IKvY</t>
  </si>
  <si>
    <t>@nkokis64 @TuckerCarlson After last night there is no doubt</t>
  </si>
  <si>
    <t>@PeterCorless @johnastoehr @washmonthly The Democrats' behavior last night makes it clear that we are in a cold civil war. They hate the very foundations that our country is built upon and will not compromise with our president no matter what. Interesting times we live in.</t>
  </si>
  <si>
    <t>RT @D_Adsit: @ASavageNation PATRIOTS‼️
TOMORROW 2/1/18 IS FREEDOM DAY🇺🇸 PREPARE FOR IT‼️
WHERE WE GO ONE WE GO ALL
#QAnon 🐸👌🏻➕➕➕✔️➕➕✔️➕🔥
#R…</t>
  </si>
  <si>
    <t>@SebGorka @seanhannity @SaraCarterDC @RepMattGaetz @FoxNews @FoxNewsInsider @foxnewsvideo Bring it y'all !!!👏👏🇺🇸🇺🇸</t>
  </si>
  <si>
    <t>@RealSaavedra @Cernovich Never mind 😎 https://t.co/q30E1dUO6Y</t>
  </si>
  <si>
    <t>RT @SpeakerTimJones: 75% of Americans watching approved of @realDonaldTrump #SOTU - while 100% of the @DNC jumped the shark. #MAGA https://…</t>
  </si>
  <si>
    <t>@SpeakerTimJones @realDonaldTrump @DNC Posturing is an honored tradition at a SOTU address but the Dems went way over the line. Bye bye Dems!!!!</t>
  </si>
  <si>
    <t>RT @RealSaavedra: #BREAKING: Classified memo alleging anti-Trump bias at FBI and Justice Department 'likely' to be released TOMORROW</t>
  </si>
  <si>
    <t>@RealSaavedra @Cernovich With all due respect. Source?</t>
  </si>
  <si>
    <t>@HeyNikki1 #WeAreNotBots #ReleaseTheMemo #TheGreatAwakening #WeThePeople #MAGA!!! 🇺🇸</t>
  </si>
  <si>
    <t>RT @EPAScottPruitt: President Trump has empowered us at @EPA to roll back burdensome regulations that have hampered American growth. Togeth…</t>
  </si>
  <si>
    <t>@lizzadwoskin #WeAreNotBots #ReleaseTheMemo Warmer windy day in Missouri today #MAGA!🇺🇸🇺🇸🇺🇸</t>
  </si>
  <si>
    <t>@DevinNunes 👏👏👏👏👏👏👏👏🇺🇸🇺🇸🇺🇸</t>
  </si>
  <si>
    <t>@seanspicer @MSNBC @MeetThePress @JoyAnnReid Joy's tweet should be #MAGA rally cry going into November 2018. #RedWaveRising2018 #RedNation</t>
  </si>
  <si>
    <t>@TeamPelosi @CBSNews Please allow us to remind you that we don't care!  President Trump won. GET OVER IT!!!!! Signed, #WeThePeople</t>
  </si>
  <si>
    <t>RT @PrisonPlanet: #ReleaseTheMemo - how many retweets can we get?
20k? 50k? 100k?
Let’s make it go parabolic. 
Retweet!</t>
  </si>
  <si>
    <t>Let's just let this sink in.... #ReleaseTheMemo #MAGA!!!🇺🇸🇺🇸🇺🇸🇺🇸🇺🇸🇺🇸🇺🇸🇺🇸🇺🇸🇺🇸 @jallman971 @971FMTalk @SpeakerTimJones https://t.co/XEsOWwcDLQ</t>
  </si>
  <si>
    <t>RT @Liz_Wheeler: What Democrats didn't applaud for:
- low black unemployment
- bonuses for employees
- 2.4 million jobs created
- American…</t>
  </si>
  <si>
    <t>RT @The_Trump_Train: Hey folks, I want you to take a second and look at this picture. 
This is what Democrats were doing when POTUS Trump…</t>
  </si>
  <si>
    <t>@que_syrah_syrah Anytime I am here all week😀</t>
  </si>
  <si>
    <t>#SOTU Calling out prior administrations' mishandling of North Korea.  Awesome!!!!</t>
  </si>
  <si>
    <t>@CassandraRules Wishing we had politic bars in the Ozarks.</t>
  </si>
  <si>
    <t>@ACLU @realDonaldTrump ACLU. Define American citizen please?</t>
  </si>
  <si>
    <t>I just can't get over how bad the democrats in this room suck. They should have all boycotted and just fill the room with Deplorables and had a rally!!! #SOTU</t>
  </si>
  <si>
    <t>#AmericaFirst🇺🇸🇺🇸🇺🇸 #SOTU</t>
  </si>
  <si>
    <t>RT @JohnCooper0610: Nancy Pelosi and Steny Hoyer's reaction to cheaper generic drugs being brought to the U.S. #SOTU https://t.co/AJLBVIzJj9</t>
  </si>
  <si>
    <t>Paid family leave.. what a Nazi. 🙄 #SOTU</t>
  </si>
  <si>
    <t>RT @benshapiro: "Terminal patients should be able to try life-saving treatments!" And Democrats sit.</t>
  </si>
  <si>
    <t>@SaadforCongress Flint MI. Obama... huh</t>
  </si>
  <si>
    <t>RT @BoSnerdley: African America unemployment the lowest on record - and every black Democrat SITS ON THEIR BUTTS. That says it ALL</t>
  </si>
  <si>
    <t>@971FMTalk @realDonaldTrump And the Dems sit</t>
  </si>
  <si>
    <t>My takeaway from #SOTU is that liberals hate America and everything American.</t>
  </si>
  <si>
    <t>RT @DineshDSouza: Trump noted a big decline in black unemployment &amp;amp; the Black Caucus sits in sullen hostility—for them good news is bad news</t>
  </si>
  <si>
    <t>Dems cannot realize how pathetic they are looking tonight.  #SOTU</t>
  </si>
  <si>
    <t>@LaDemos Yet the Dems still won't cheer.</t>
  </si>
  <si>
    <t>@TruthFeedNews @DeplorableKat Dems threatening to throw a tamtrum. Nothing new under the sun.</t>
  </si>
  <si>
    <t>RT @JenandZen: #MAGA v #RESIST: America’s Cold Civil War (Part 1) https://t.co/IWw9zePCus</t>
  </si>
  <si>
    <t>@JenandZen I expect royalties. Good article though.  😀</t>
  </si>
  <si>
    <t>@Alyssa_Milano I believe in the sovereign right that our nation has to secure its borders. 🇺🇸🇺🇸🇺🇸</t>
  </si>
  <si>
    <t>RT @carrieksada: For those of you on the Left, who still think the Obama Admin was scandal free, think again. 
#ReadTheMemo 
#DeepStateGate…</t>
  </si>
  <si>
    <t>@Breaking911 Hope my fund manager is bargain hunting 🤑</t>
  </si>
  <si>
    <t>@OfficeOfMike Works for me</t>
  </si>
  <si>
    <t>@SpeakerTimJones @tonycolombo971 @carps @realDonaldTrump @971FMTalk This is pretty much my super bowl.. 😎🇺🇸</t>
  </si>
  <si>
    <t>RT @RepMattGaetz: I am calling for President Trump to #ReleaseTheMemo tonight during the State of the Union, so the American people can fin…</t>
  </si>
  <si>
    <t>99 red balloons go by🎈🎈🎈 https://t.co/OieyYWSxE9</t>
  </si>
  <si>
    <t>RT @Scattermae777M: Democrat, 'Collusion Claire McCaskill' Paid 4 Dinner at Russian Ambassador's Home With Money From Undisclosed Fund http…</t>
  </si>
  <si>
    <t>@NWSStLouis Some of the best days of my childhood 😀</t>
  </si>
  <si>
    <t>@tonycolombo971 @MarcCox971 House of cards coming down!!! #DrainTheSwamp 🇺🇸🇺🇸🇺🇸#MAGA</t>
  </si>
  <si>
    <t>@NancyPelosi @ChrisCuomo @CNN Well that was entertaining, @IngrahamAngle just showed the clip.  🤣🤣🤣</t>
  </si>
  <si>
    <t>@ummmno21 I find it entertaining and therapeutic.</t>
  </si>
  <si>
    <t>@ubustiles_dave @empiricalgirl @justiceseeker03 @StephenKing So far so good.</t>
  </si>
  <si>
    <t>Tomorrow is going to be a slow news day @jallman971 , you ought take the day off and go fishing😂😂😂😂🇺🇸</t>
  </si>
  <si>
    <t>#MAGA tonight #ReleaseTheMemo https://t.co/Ro7hFoinWf</t>
  </si>
  <si>
    <t>@RepJasonSmith Thank you Rep!!!!!!👏👏👏🇺🇸🇺🇸🇺🇸</t>
  </si>
  <si>
    <t>House Intelligence Committee causing snowflakes to melt everywhere!!!  #TheStormisHere #MAGA 🇺🇸🇺🇸🇺🇸</t>
  </si>
  <si>
    <t>RT @RussCanRead: BREAKING: Ranking Member Rep. Adam Schiff confirms #ReleaseTheMemo majority memo will be released, but not the Democratic…</t>
  </si>
  <si>
    <t>#TheStormHasArrived #maga https://t.co/k0rpBEdXlN</t>
  </si>
  <si>
    <t>RT @RepMattGaetz: FBI Deputy Director McCabe’s resignation is a step in the right direction. I'll continue fighting on behalf of the Americ…</t>
  </si>
  <si>
    <t>RT @HawleyMO: .@clairecmc supports late-term abortions, despite the fact our unborn can absolutely feel this life-ending pain. I'd be a str…</t>
  </si>
  <si>
    <t>@seanhannity @SaraCarterDC House of Cards collapsing !!!</t>
  </si>
  <si>
    <t>RT @DonaldJTrumpJr: Yea right, that’s why he stepped down a day after the FBI saw the FISA memo and the day the house votes on its release.…</t>
  </si>
  <si>
    <t>#MAGA #ReleaseTheMemo 🇺🇸🇺🇸 https://t.co/T6epIkQ7wG</t>
  </si>
  <si>
    <t>@nprpolitics @johnson_carrie #MAGA!!  Ought to be an interesting week #ReleaseTheMemo 🇺🇸🇺🇸🇺🇸🇺🇸</t>
  </si>
  <si>
    <t>@971FMTalk @jallman971 @gatewaypundit @RodneyBoyd @RobRains @MariaBartiromo @kbailey971 @Kwebblittle @denysschaefer @Pippy971 🚗💨🇺🇸🇺🇸 #ReleaseTheMemo 🇺🇸🇺🇸</t>
  </si>
  <si>
    <t>RT @mikandynothem: 🚫REWEET🚫 if you are NOT watching the #GRAMMYs tonight! 
Intelligent Americans have no time for a bunch of hypocritical r…</t>
  </si>
  <si>
    <t>@CBS @ladygaga @U2 @kendricklamar @samsmithworld I think I'll pass.....</t>
  </si>
  <si>
    <t>RT @Monetti4Senate: Rep Pelosi’s comments that POTUS wants to Make America White Again is shameful &amp;amp; divisive. As the son of legal immigran…</t>
  </si>
  <si>
    <t>@JenandZen I don't think immigration is the main focus of this conflict (of course I am in the middle of Missouri and not really affected by immigration).  More about sovereignty.  Nationalism instead of globalism.</t>
  </si>
  <si>
    <t>@TinManMike However, notice how several companies are now raising their own minimum wage as a result of the tax cut?  This is the  free market at work.</t>
  </si>
  <si>
    <t>@JenandZen #MAGA vs #Resist,  with the majority of the population "normies" in the middle, unaware or apathetic.  I guess the conflict is over the soul of our nation.</t>
  </si>
  <si>
    <t>@geezuskrice Better than Clinton for sure....</t>
  </si>
  <si>
    <t>@lovablemarketer @DNC Easy, DNC would have to admit that most violent death is black on black.</t>
  </si>
  <si>
    <t>@StrayThread @realDonaldTrump Oops y axis.  😎</t>
  </si>
  <si>
    <t>@StrayThread @realDonaldTrump Why is the scale of the x axis skewed ?</t>
  </si>
  <si>
    <t>RT @realDonaldTrump: Somebody please inform Jay-Z that because of my policies, Black Unemployment has just been reported to be at the LOWES…</t>
  </si>
  <si>
    <t>RT @MikeTokes: WOW: Councilman &amp;amp; Teacher Gregory Salcido of El Rancho High School in CA has been placed on paid administrative leave after…</t>
  </si>
  <si>
    <t>RT @seanhannity: I just want to take a moment and thank my twitter friends for all of your support in the last 22 hours. It means more to m…</t>
  </si>
  <si>
    <t>RT @seanhannity: I’m baaaccckk... a lot to say- Thanks for the support all you deplorable, irredeemables. Can’t get rid of me that easy. To…</t>
  </si>
  <si>
    <t>RT @SebGorka: Translation:
Thank you for killing 100,000s of unborn boys and GIRLS, especially in poor African American communities in way…</t>
  </si>
  <si>
    <t>#ToleranceMeans supporting President Trump!!🇺🇸🇺🇸🇺🇸🇺🇸🇺🇸</t>
  </si>
  <si>
    <t>@DRUDGE #captaintripps</t>
  </si>
  <si>
    <t>@ummmno21 3. The vast majority of food and energy is produced in red counties             4. Interstate commerce, rails, pipelines etc flow through Red counties.     😀</t>
  </si>
  <si>
    <t>RT @JasonSmithMO: Proud to lend my support to new rural broadband initiative led by state Dept. of Economic Development and Dept. of Agricu…</t>
  </si>
  <si>
    <t>@free_illuminati Jammed it on my Powerslave CD yesterday it get it out if my head.</t>
  </si>
  <si>
    <t>RT @RodneyDavis: For a running list of companies giving raises, bonuses and making investments in their employees, click here: https://t.co…</t>
  </si>
  <si>
    <t>@971FMTalk @MarcCox971 @wwwCISorg This is Schumer being backed into a corner.</t>
  </si>
  <si>
    <t>@FoxNews @SassCBrown @SenSchumer @WhiteHouse Just the way we like it.  Life thrives on the edge of chaos.</t>
  </si>
  <si>
    <t>@realDonaldTrump Checkmate!</t>
  </si>
  <si>
    <t>RT @POLLiticsS: @realDonaldTrump Whom do you support ??
#trump #MuellerInvestigation 
Vote and Retweet</t>
  </si>
  <si>
    <t>RT @realDonaldTrump: Heading back from a very exciting two days in Davos, Switzerland. Speech on America’s economic revival was well receiv…</t>
  </si>
  <si>
    <t>RT @jordie_ray: @realDonaldTrump RELEASE THE MEMO</t>
  </si>
  <si>
    <t>@Religion_Newz @PamB60 This is how we WIN!!!!!🙏🙏🙏🇺🇸🇺🇸🇺🇸</t>
  </si>
  <si>
    <t>@nytimes #NothingBurger. As always.</t>
  </si>
  <si>
    <t>@nytimes So what? #ReleaseTheMemo #notabot</t>
  </si>
  <si>
    <t>#ReleaseTheMemo #SOTU</t>
  </si>
  <si>
    <t>@guardian You crazy Brits always pushing Iron Maiden on us Yanks</t>
  </si>
  <si>
    <t>@SecDef19 Uh it was your boss that enabled North Korea to get the bomb. Ironic</t>
  </si>
  <si>
    <t>RT @paulsperry_: BREAKING: One text from fall 2016 in new batch of FBI texts references Comey "updating" Obama about an "investigation." Un…</t>
  </si>
  <si>
    <t>@RepJasonSmith You know what I am about to say Rep Smith. #ReleaseTheMemo please.  🇺🇸🇺🇸</t>
  </si>
  <si>
    <t>@Breaking911 #TheStormIsUponUs</t>
  </si>
  <si>
    <t>@OANN Bye bye Dems!!!  #MAGA #ReleaseTheMemo  🇺🇸🇺🇸</t>
  </si>
  <si>
    <t>RT @CollinRugg: BREAKING: The DOJ Inspector General has recovered all 50,000 “lost” text messages.
But oh, I thought they were all gone be…</t>
  </si>
  <si>
    <t>@TravisAllen02 We're just getting warmed up!!!! 🇺🇸🇺🇸🇺🇸</t>
  </si>
  <si>
    <t>@tedlieu @EdMarkey @POTUS @SecDef19 #ReleaseTheMemo !!!</t>
  </si>
  <si>
    <t>@derekjGZ Meh</t>
  </si>
  <si>
    <t>RT @DEFCONWSALERTS: The Doomsday Clock has been moved to "2 minutes to midnight," the closest it's been to midnight since 1953.
https://t.…</t>
  </si>
  <si>
    <t>@spacespoonATX @DEFCONWSALERTS Beat me to it😂😂👏👏</t>
  </si>
  <si>
    <t>RT @Prime_Politics: Trump vs. Obama: Who's A Better @POTUS?
↪️ RETWEET &amp;amp; COMMENT WHY! ↩️ 
Use the Hashtag: #TrumpvsObama
And We'll Retwe…</t>
  </si>
  <si>
    <t>@LiberalKimmy66 Wrong.  Goes without saying that there are 1000s of Patriots working for the FBI.  The corruption is occurring at the top levels. #IAmNotABot</t>
  </si>
  <si>
    <t>@TinaMorphis Left Wing peeps all over twitter seem nervous this morning...  what gives???</t>
  </si>
  <si>
    <t>Up The Irons!!! #TeenageMe3WordsAndAGIF https://t.co/ddehF2ZSpo</t>
  </si>
  <si>
    <t>RT @realJohnnyZipp: #LoganAct Violation:  Report: John Kerry Contacted Palestinians, Ordered Them To Not Work With Trump
https://t.co/CguA…</t>
  </si>
  <si>
    <t>RT @RepMarkMeadows: THREAD--explaining the context around the Peter Strzok/Lisa Page text messages, and why they're connected to both the H…</t>
  </si>
  <si>
    <t>Earth shaking if true... #TheGreatAwakening #redpill #maga #ReleaseTheMemo https://t.co/0lTVWmx0JS</t>
  </si>
  <si>
    <t>@RealMattCouch #ReleaseTheMemo (not a bot)</t>
  </si>
  <si>
    <t>RT @RealMattCouch: Do me a little Favor, testing something right now... 
RT this if you're not a Russian Bot, and agree we need to Release…</t>
  </si>
  <si>
    <t>RT @GenFlynn: THANK YOU VETERANS!!!
RT AS OFTEN AS YOU CAN
AMERICA THE BEAUTIFUL https://t.co/TfkdIQZqaK</t>
  </si>
  <si>
    <t>The plot thickens???? Time will tell 🇺🇸🇺🇸🇺🇸 https://t.co/XgZrQpHyP9</t>
  </si>
  <si>
    <t>@Breaking911 Wall!!!</t>
  </si>
  <si>
    <t>RT @JasonSmithMO: Some cities and states are using tax-free bonds to help abortion providers build new clinics. https://t.co/C0nkO8LyI8  Th…</t>
  </si>
  <si>
    <t>@RepAdamSchiff #ReleaseTheMemo  #IAmNotABot #MAGA</t>
  </si>
  <si>
    <t>@pepsi @jtimberlake #boycotting NFL. You should consider not sponsoring....</t>
  </si>
  <si>
    <t>@JenniferJJacobs It does help us sell abroad.... so maybe?</t>
  </si>
  <si>
    <t>@commongunsense @NPR Three?</t>
  </si>
  <si>
    <t>Gun owning Parents..  I am a full supporter of gun rights and a gun owner imploring y'all to keep your  guns unloaded and locked up.   Without parental supervision, Guns and kids don't mix well. #KentuckySchoolShooting</t>
  </si>
  <si>
    <t>@PortCityPisces Yes, it has nothing to to with major increase  of online sales.  Just our presidents fault Liberals ....🙄</t>
  </si>
  <si>
    <t>Good morning @RepAdamSchiff.  I am not a bot. It is 27 degrees in southeast Missouri and you need to #ReleaseTheMemo!!!! @RepJasonSmith https://t.co/Cr3rq4QZkG</t>
  </si>
  <si>
    <t>@ummmno21 Story of my life</t>
  </si>
  <si>
    <t>RT @PrisonPlanet: Twitter’s own internal analysis finds that real Americans, not 'Russian bots' were responsible for #ReleaseTheMemo trendi…</t>
  </si>
  <si>
    <t>#ThisIsUs and we are not bots. #ReleaseTheMemo</t>
  </si>
  <si>
    <t>RT @celesteholsinge: @WhiteHouse---&amp;gt; #ReleaseTheMemo #SecretSocieties #DrainTheDeepState #LockThemUp ~@POTUS read #ReleaseTheMemo at #SOTU…</t>
  </si>
  <si>
    <t>RT @lonelyvoice: 1 minute ago
                                     #Hannity 203-224-3121 Call Congress &amp;amp; tell them to #ReleaseTheMemo NOW!</t>
  </si>
  <si>
    <t>#Hannity @SaraCarterDC has not been wrong yet.</t>
  </si>
  <si>
    <t>Secret Society = Deep State 😡😡 #Hannity</t>
  </si>
  <si>
    <t>#Hannity Too bad Tom Clancy is not here for this.  It would be a good novel ☹️</t>
  </si>
  <si>
    <t>#Hannity. Bring It!!!🇺🇸🇺🇸🇺🇸🇺🇸</t>
  </si>
  <si>
    <t>@Hyperslw4Trump @seanhannity I hope Sean tears him apart. Vincent's Fox hates the United States</t>
  </si>
  <si>
    <t>3 minutes of my life I will never get back. #StonerAbortionActivist #Tucker</t>
  </si>
  <si>
    <t>RT @BayshoreRunner: It's time to #RealeaseTheMemo  #Tucker</t>
  </si>
  <si>
    <t>RT @alozrasT11: BREAKING: Ranking FBI Official Confirm Missing Text Messages Contain Threats To President Trump's Life
https://t.co/PIkW5UE…</t>
  </si>
  <si>
    <t>#Tucker tearing Goodstein to shreds 😂😂😂😂</t>
  </si>
  <si>
    <t>Hey @RepAdamSchiff I am #notabot. #ReleaseTheMemo</t>
  </si>
  <si>
    <t>#NotABot #releasethememo</t>
  </si>
  <si>
    <t>RT @mitchellvii: According to Fox News, Nunes, Gowdy and Goodlatte are in the process of going through the steps necessary to release the f…</t>
  </si>
  <si>
    <t>RT @seanhannity: FBI BOMBSHELL: Top Agent Admits 'ODDS ARE NOTHING' Trump Colluded with Russia  - https://t.co/KRql2jVMAD https://t.co/Han6…</t>
  </si>
  <si>
    <t>RT @ABC: NEW: Sen. Feinstein, Rep. Schiff urge Facebook and Twitter to investigate involvement of Russian bots in pushing "Release the Memo…</t>
  </si>
  <si>
    <t>RT @a_millie513: #wearenotbots #ReleaseTheMemo 
Let's all give these lovers a call. https://t.co/jJG5Q1gNB3</t>
  </si>
  <si>
    <t>RT @BarbBae: @B75434425 Maybe we should try his other office... they may want to hear frim us instead...
Call Schiff!!
818-450-2900
323-315…</t>
  </si>
  <si>
    <t>RT @KariCares4U: @ABC @SenFeinstein @RepAdamSchiff @Raul_Labrador @CongMikeSimpson @Twitter @facebook Dear @realDonaldTrump @POTUS .. They…</t>
  </si>
  <si>
    <t>RT @NanNCook: @nickiknowsnada @MSNBC @SRuhle .@SenatorLeahy look out Senator I think this is a Russian bot you're retweeting. #ReleaseTheMe…</t>
  </si>
  <si>
    <t>RT @DiscoBaby1942: @ABC #WeAreNotBOTS   wow fake news at it's finest I am a #ReleaseTheMemo Kind American.</t>
  </si>
  <si>
    <t>RT @HolewaKaren: @RedNationRising This makes me so mad been on here tweeting for #PresidentTrump #TrumpTrain now #ReleaseTheMemo #WeAreNotB…</t>
  </si>
  <si>
    <t>@ABC I'm not a Bot. Just a Deplorable from Missouri.  Bad wreck on I-64 just west of 270 today.  😎🇺🇸🇺🇸🇺🇸 #WeAreNotBots #releasethememo #findthetexts #MAGA!!!</t>
  </si>
  <si>
    <t>RT @realDonaldTrump: In one of the biggest stories in a long time, the FBI now says it is missing five months worth of lovers Strzok-Page t…</t>
  </si>
  <si>
    <t>@RepJasonSmith @realDonaldTrump Great. Now #releasethememo!!!</t>
  </si>
  <si>
    <t>RT @bgood12345: 💣💥FBI Agents Discussed "Secret Society" Within DOJ And FBI Working To Undermine Trump‼️Tick ⏰⌛️Tock ⌛️⏰#ReleaseTheTexts #Ge…</t>
  </si>
  <si>
    <t>RT @Monetti4Senate: Dear Patriots. I need YOUR help. Please RETWEET, share and help support my #MAGA campaign in Missouri to DEFEAT Claire…</t>
  </si>
  <si>
    <t>@trumpanzeetamer School shooting are the symptom. Let's get to the heart of the problem #bullycontrolnow</t>
  </si>
  <si>
    <t>#LiberalismIsAMentalDisorder 👇 https://t.co/YM4470Lb84</t>
  </si>
  <si>
    <t>@JordanPeele Funniest movie I watched all year 👏👏👏👏👏👏👏👏👏👏👏👏</t>
  </si>
  <si>
    <t>@ThatIsArguable Yeah, we are pissed because it exposed our  grand plans. 😎.</t>
  </si>
  <si>
    <t>RT @JayWeber3: BIG BREAKING NEWS ON WISN: Sen Ron Johnson tells me he's discovered a text from Peter Strzok 2 days after the Mueller invest…</t>
  </si>
  <si>
    <t>RT @stltoday: Fiery crash kills one, closes eastbound Highway 40 between Mason Road and I-270 https://t.co/lmnvsfgubb https://t.co/8Y15xest…</t>
  </si>
  <si>
    <t>RT @rbrandtraffic: EMS crews are reporting 2 fatalities in the crash eastbound 64 before 270 were a vehicle is reportedly lodged under a se…</t>
  </si>
  <si>
    <t>RT @WESTCOUNTYFIRE: Alert: EB 40/64 is closed after Mason due to a serious accident. Crews on scene .Avoid the area if possible. #stltraffic</t>
  </si>
  <si>
    <t>It would appear that 40 EB is  closed at 141 due to a wreck around Mason  #STLtraffic @971FMTalk</t>
  </si>
  <si>
    <t>#SecretSociety aka #deepstate.  This is no longer a conspiracy theory.</t>
  </si>
  <si>
    <t>@NicolePauline17 @SykesforSenate I like his style. A fighter!!!  and funny.  Has a cool dog too ( I was at Jeff city on Saturday)</t>
  </si>
  <si>
    <t>@AkosScott Yeah, but I think @TomiLahren just met her future husband 😂😂😂</t>
  </si>
  <si>
    <t>@JaySekulow just laid out a slam dunk perjury case against Comney. #Hannity</t>
  </si>
  <si>
    <t>RT @ChristiChat: BREAKING
AG Jeff Sessions confirms there were over 50,000 text messages sent between President Trump hating FBI officials…</t>
  </si>
  <si>
    <t>"All circuits busy now"... #Hannity #Maga!!!!!! 🇺🇸🇺🇸🇺🇸🇺🇸🇺🇸🇺🇸 https://t.co/eIubiLLp09</t>
  </si>
  <si>
    <t>#Releasethememo!!!!!! #Hannity</t>
  </si>
  <si>
    <t>@RoyBlunt @RepJasonSmith  we want justice NOW!!!!!!!!! https://t.co/8p4qH0rDAZ</t>
  </si>
  <si>
    <t>#Hannity the fix is in!!!!!!!!!😡😡😡😡😡😡😡😡😡😡😡😡😡😡😡😡😡😡😡😡😡😡😡😡😡😡😡😡😡😡😡😡😡😡😡😡😡😡😡😡😡😡😡😡😡😡😡😡😡😡😡😡😡😡😡😡😡😡😡😡😡😡😡</t>
  </si>
  <si>
    <t>#WeWantTheTextMessages #ReleaseTheMemo https://t.co/GqFysaYuOb</t>
  </si>
  <si>
    <t>RT @PamelaCover3: #WeWantTheTextMessages. Retweet it and get it trending! Per @seanhannity</t>
  </si>
  <si>
    <t>#wewantthetextmessages Down with the with the Deep State!!! #MAGA #ReleaseTheMemo https://t.co/WzayNqrsvP</t>
  </si>
  <si>
    <t>@robreiner Hah. It would be known as the 45 minute war. 😂😂😂😂😂😂😂</t>
  </si>
  <si>
    <t>#SchumerSurrender #SchumerSurrender #SchumerSurrender #SchumerSurrender #SchumerSurrender #SchumerSurrender #SchumerSurrender #SchumerSurrender #SchumerSurrender #SchumerSurrender #SchumerSurrender #SchumerSurrender #SchumerSurrender #SchumerSurrender #SchumerSurrender 🇺🇸🇺🇸</t>
  </si>
  <si>
    <t>RT @Carolin17951107: #Republicans WIN The #ShumerShutdown ends today as they vote to keep the govt open till Feb 8th Their success was larg…</t>
  </si>
  <si>
    <t>#NoDACANoDeal Right. Dems folded!!!! Hahahahaha #MAGA wins. No #DACA Deal ever!!!!!!!🇺🇸</t>
  </si>
  <si>
    <t>@SpeakerTimJones No DACA deal EVER!!!   Nice to see the Dems blink!! Time to #ReleaseTheMemo and bury them!!!@RepJasonSmith</t>
  </si>
  <si>
    <t>@Cre8tiveSpaces Hillary Clinton- Shutdown!!!</t>
  </si>
  <si>
    <t>RT @normagenie: #7in10forRoe 
I’m not celebrating the slaughter of innocent human beings by stupid women using abortion as birth control in…</t>
  </si>
  <si>
    <t>#7in10forRoe Roe Vs Wade could be the most racist Supreme Court decision ever made in US history. #eugenics #TheBigLie #defundPP</t>
  </si>
  <si>
    <t>@melanie_ward1 For more information on this fact.  Read #TheBigLie</t>
  </si>
  <si>
    <t>RT @noahsmom7: Even if #7in10forRoe is correct (which I highly doubt)....let us not forget that just because something is popular does not…</t>
  </si>
  <si>
    <t>RT @Franklin_Graham: Maybe you’re one of the millions who have had an abortion and it has haunted you. You may have wondered if God will fo…</t>
  </si>
  <si>
    <t>I proudly stand with the 30%. Abortion is Murder #defundplannedparenthood #7in10forRoe</t>
  </si>
  <si>
    <t>@jallman971 @971FMTalk ask representative Smith about the memo</t>
  </si>
  <si>
    <t>#SuperBowl will be boycotted</t>
  </si>
  <si>
    <t>RT @CharlieDaniels: Congressman Schiff you demanded that all the bogus and contrived information be released about collusion with Russia
Wh…</t>
  </si>
  <si>
    <t>@SpeakerTimJones Anyone with a brain could see that the #SchumerShutdown was going to back fire at the DNC.  Good seeing you at Jeff City yesterday btw. https://t.co/nC6LanEs1d</t>
  </si>
  <si>
    <t>RT @SenateMajLdr: .@realDonaldTrump, the House, a bipartisan majority of the #Senate, and the American people cannot begin to understand wh…</t>
  </si>
  <si>
    <t>RT @dbongino: Here’s everything you need to know about Democrats, they call Americans “deplorables” and illegal immigrants “dreamers.”
#DACA</t>
  </si>
  <si>
    <t>RT @realDonaldTrump: The Trump Administration has terminated more UNNECESSARY Regulation, in just twelve months, than any other Administrat…</t>
  </si>
  <si>
    <t>@ThatKidZaza @grikor_ Breaking down barriers.  Making America Great Again...  How we roll in the Show Me State.</t>
  </si>
  <si>
    <t>RT @GWMoodyKC: #moleg #maga #LeadRight why we support our president https://t.co/Vo7LJnNfTl</t>
  </si>
  <si>
    <t>My 1 year message to @realDonaldTrump https://t.co/efgNUvG2Ak</t>
  </si>
  <si>
    <t>RT @GWMoodyKC: #LeadRight https://t.co/jFX6CK0kHO</t>
  </si>
  <si>
    <t>RT @GWMoodyKC: #LeadRight #maga https://t.co/Ojd3wjBFKD</t>
  </si>
  <si>
    <t>RT @GWMoodyKC: #LeadRight  #moleg https://t.co/vKrUY306dp</t>
  </si>
  <si>
    <t>RT @GWMoodyKC: #LeadRight the Lt. Gov addressing this great crowd today https://t.co/7E7jDLVq3V</t>
  </si>
  <si>
    <t>RT @GWMoodyKC: Sec of state at the MO MAGA rally #leadright https://t.co/L0RuL9d3q0</t>
  </si>
  <si>
    <t>@mahuti @clairecmc @HawleyMO @Monetti4Senate @SykesforSenate @AP4Liberty @971FMTalk @jallman971 @SenateMajLdr Yes. I saw that.  She voted correctly</t>
  </si>
  <si>
    <t>Hanging out with my Deplorable friends in Jefferson City #maga #ReleaseTheMemo @jallman971 https://t.co/r6t8hseaUr</t>
  </si>
  <si>
    <t>RT @BevFries: 🇺🇸🇺🇸🇺🇸🇺🇸🇺🇸🇺🇸🇺🇸🇺🇸Having a #MAGA good time at the #TrumpRally #JeffersonCity #MO #moleg #mosen https://t.co/NQQKuzmI9Q</t>
  </si>
  <si>
    <t>RT @steph93065: Democrats just blocked the longest #CHIP (Child Health Insurance) extension in history because Mexican citizens mean more t…</t>
  </si>
  <si>
    <t>Senate Democrats are obstructive losers!!!!! #RedWave2018</t>
  </si>
  <si>
    <t>RT @ChadPergram: McCarthy: Senate Democrats just chose to cut off pay to our troops, cut off funding to the VA, and cut off insurance for A…</t>
  </si>
  <si>
    <t>RT @MainStreetGOP: Tonight Senate Democrats shut down the government for a political win, placing their own reelection over a 6 year extens…</t>
  </si>
  <si>
    <t>RT @PressSec: Official White House statement on #SchumerShutdown https://t.co/2PiPz2rJ3J</t>
  </si>
  <si>
    <t>#LiberalismIsAMentalDisorder https://t.co/Qor9KeVX19</t>
  </si>
  <si>
    <t>@Alyssa_Milano #NoDACAAmnesty  Ever!!!!!</t>
  </si>
  <si>
    <t>#GovtShutdown and purge both trending.   Millennials sheesh 😂😂</t>
  </si>
  <si>
    <t>RT @jhawk1986: Screw the #SchumerShutdown
When are they gonna #ReleaseTheMemo #ReleaseTheMemo
#ReleaseTheMemo #ReleaseTheMemo
#ReleaseTheMe…</t>
  </si>
  <si>
    <t>@KayaJones @SebGorka But can he speak redneck? 😀</t>
  </si>
  <si>
    <t>@harryirish Not a chance. @clairecmc might as well start packing now.</t>
  </si>
  <si>
    <t>#TrumpShutdown? Call it what you want Dems.  We are coming after you with a vengeance in November #RedWave2018 #MAGA  #ReleaseTheMemo</t>
  </si>
  <si>
    <t>@ummmno21 Funny thing is.... the democrats think they won.</t>
  </si>
  <si>
    <t>@realDonaldTrump No backing down Mr President.</t>
  </si>
  <si>
    <t>#LiberalismIsAMentalDisorder https://t.co/yInSWHHzDJ</t>
  </si>
  <si>
    <t>@MarchandMusic @RepJasonSmith @GOP Nah it's real if @RepJasonSmith says it's real.  We don't play around in southeast Missouri. #releasethememo</t>
  </si>
  <si>
    <t>RT @RepJasonSmith: Today I went to a secure location in the US Capitol &amp;amp; reviewed classified House Intel Cmte memo created after months of…</t>
  </si>
  <si>
    <t>@RepJasonSmith No hints :(</t>
  </si>
  <si>
    <t>RT @AmericaFirstMO: Reminder: tomorrow at the state capitol @jallman971 Emcees a celebration of the inauguration with Overpasses @KTrifonof…</t>
  </si>
  <si>
    <t>RT @DonaldJTrumpJr: Hey @AdamSchiff you were very vocal after and almost certainly leaked info during my private testimony. All of a sudden…</t>
  </si>
  <si>
    <t>RT @RepTedYoho: I read the FISA memo yesterday &amp;amp; what I saw was deeply troubling, to say the least. I believe the memo should be declassifi…</t>
  </si>
  <si>
    <t>@realDonaldTrump #ReleaseTheMemo</t>
  </si>
  <si>
    <t>RT @rickhoward25: @clairecmc As a voting resident of Missouri, I ask you how do you plan to vote today?</t>
  </si>
  <si>
    <t>@StacyResists @clairecmc Yep. Tax breaks really suck</t>
  </si>
  <si>
    <t>@clairecmc Are you voting yes or no?</t>
  </si>
  <si>
    <t>@GosarDave @RepGosar Not a bot.  #ReleaseTheMemo 🇺🇸🇺🇸🇺🇸</t>
  </si>
  <si>
    <t>RT @datrumpnation1: BS on the "Russia-linked Twitter" supposed connection with releasing the memo.  I am not a bot and I tweeted multiple t…</t>
  </si>
  <si>
    <t>RT @CarsonChris68: "Russia-linked Twitter" is just another snowflake meltdown as they can’t stand the heat! #ReleaseTheMemo</t>
  </si>
  <si>
    <t>RT @FullMtlPatriot: This "Russia-linked Twitter" thing is a Democrat smokescreen. Congress MUST #ReleaseTheMemo and let We The People see t…</t>
  </si>
  <si>
    <t>@farlanewastaken @bearsandfords @axios @businessinsider Only one way to find out   Eitherway it can't be any worse than the #nothingburgers fed to us by the MSM on a daily basis for the past 18 months.  #ReleaseTheMemo</t>
  </si>
  <si>
    <t>@axios @businessinsider Real person in Missouri. birds won series in 82. #ReleaseTheMemo</t>
  </si>
  <si>
    <t>RT @SebGorka: The corruption was government wide. 
The CORRECT name for this storm is:
                  #ObamaGate
Use nothing else onl…</t>
  </si>
  <si>
    <t>RT @JacobAWohl: More than 100 Members of Congress now have the FISA memo. It's coming out folks   #ReleaseTheMemo</t>
  </si>
  <si>
    <t>RT @realDonaldTrump: Today, I was honored and proud to address the 45th Annual @March_for_Life! You are living witnesses of this year’s Mar…</t>
  </si>
  <si>
    <t>RT @SenateMajLdr: #Senate Democrats have a choice to make. This should be a no-brainer... https://t.co/zdUFXxclZ9</t>
  </si>
  <si>
    <t>@nprpolitics Does @nprpolitics get defunded if the Dems shutdown the government?  One can only hope.....</t>
  </si>
  <si>
    <t>RT @toddstarnes: Maybe Republicans should pull a Feinstein and #LeakTheMemo #releasethememo #ToddStarnesShow</t>
  </si>
  <si>
    <t>@SykesforSenate Hope to meet you tmmw at Jeff city</t>
  </si>
  <si>
    <t>RT @SykesforSenate: SIGN THIS LETTER to #ReleaseTheMemo
https://t.co/8SRP7SiwAm https://t.co/cIIX5RX3nv</t>
  </si>
  <si>
    <t>@USRepGaryPalmer Thank you for passing now #RELEASETHEMEMO!!!!!</t>
  </si>
  <si>
    <t>@HouseJudiciary @MarshaBlackburn #RELEASETHEMEMO</t>
  </si>
  <si>
    <t>@HouseJudDems @HouseGOP #RELEASETHEMEMO</t>
  </si>
  <si>
    <t>@RepBarbaraLee @HouseGOP #releasethememo</t>
  </si>
  <si>
    <t>@RepValDemings @HouseGOP #ReleaseTheMemo</t>
  </si>
  <si>
    <t>@JenniferJJacobs Sounds like truth to me.  Anyone want to point out where I am wrong?</t>
  </si>
  <si>
    <t>RT @Jim_Jordan: The American people should be able to read what I did in that briefing room. It's time to #ReleaseTheMemo.
https://t.co/28…</t>
  </si>
  <si>
    <t>RT @RepRodBlum: I read today the memo prepared by the Intelligence Committee regarding the FBI and the Department of Justice. This document…</t>
  </si>
  <si>
    <t>#releasethememo https://t.co/HSuQO139j0</t>
  </si>
  <si>
    <t>RT @DineshDSouza: The media doesn’t want the #FisaAbuseMemo released because they want to keep Obama from being exposed as a political thug</t>
  </si>
  <si>
    <t>@toddstarnes @JHoganGidley @mschlapp @mattgaetz @rendcollective #releasethememo</t>
  </si>
  <si>
    <t>RT @wikileaks: #ReleaseTheMemo: Do you know someone who has access to the FISA abuse memo? Send them here: https://t.co/cLRcuIiQXz
WikiLea…</t>
  </si>
  <si>
    <t>Hey @clairecmc. Are you standing by your fellow Dems and choosing illegals over the 14,000 active military personnel that reside in Missouri? #NoDACAAmnesty #shutdown @HawleyMO @Monetti4Senate @SykesforSenate @AP4Liberty @971FMTalk @jallman971 #ReleaseTheMemo</t>
  </si>
  <si>
    <t>@971FMTalk @jallman971 @JimNorton @HvonSpakovsky @kayleighmcenany @anniefreyshow @kbailey971 @Pippy971 @Kwebblittle #releasethememo 😎</t>
  </si>
  <si>
    <t>RT @JoshAlterity: @AP4Liberty Release the memo! #ReleaseTheMemo</t>
  </si>
  <si>
    <t>RT @mead_jeremiah: @AP4Liberty #ReleaseTheMemo</t>
  </si>
  <si>
    <t>@RepJasonSmith #ReleaseTheDocuments #ReleaseTheMemo</t>
  </si>
  <si>
    <t>Good morning @jallman971 @971FMTalk #ReleaseTheMemo #ReleaseTheDocuments #ReleaseTheMemo  #MAGA!!! #TheStormIsHere 🚗💨🇺🇸</t>
  </si>
  <si>
    <t>RT @ExDemLatina: #ReleaseTheMemo
#ReleaseTheMemo
#ReleaseTheMemo
#ReleaseTheMemo
#ReleaseTheMemo
#ReleaseTheMemo
#ReleaseTheMemo
#ReleaseTh…</t>
  </si>
  <si>
    <t>RT @SteveKingIA: I have read the memo. The sickening reality has set in. I no longer hold out hope there is an innocent explanation for the…</t>
  </si>
  <si>
    <t>RT @RepMattGaetz: The House must immediately make public the memo prepared by the Intelligence Committee regarding the FBI and the Departme…</t>
  </si>
  <si>
    <t>RT @RepMarkMeadows: I viewed the classified report from House Intel relating to the FBI, FISA abuses, the infamous Russian dossier, and so-…</t>
  </si>
  <si>
    <t>Remember in November. House democrats voted against tax cut and for illegal immigrants over our armed forces!!!  Senate Dems to follow..#NoDACAAmnesty #FireClaire  #RedWaveRising2018 #MAGA🇺🇸</t>
  </si>
  <si>
    <t>#ReleaseTheDocument thank @SaraCarterDC for not letting up on this!! #ReleaseTheMemo</t>
  </si>
  <si>
    <t>Watching Hannity in DVR. He is tearing it up!!! #ReleaseTheMemo!!!</t>
  </si>
  <si>
    <t>@RepJasonSmith #releasethememo!!! https://t.co/Lt3z2FCA2q</t>
  </si>
  <si>
    <t>RT @dbongino: Dear @Comey, 
You better prepare another one of your snippy tweets because you’re about to be exposed for the fraud you are.…</t>
  </si>
  <si>
    <t>#ReleaseTheMemo!!!!</t>
  </si>
  <si>
    <t>@richardhine Perhaps.  And absolutely nothing you can do about it. #LiberalismIsAMentalDisorder</t>
  </si>
  <si>
    <t>@clairecmc No #DACA ever!!!!!!🇺🇸🇺🇸🇺🇸🇺🇸🇺🇸</t>
  </si>
  <si>
    <t>RT @realDonaldTrump: AMERICA will once again be a NATION that thinks big, dreams bigger, and always reaches for the stars. YOU are the ones…</t>
  </si>
  <si>
    <t>RT @TrumpChess: Your jig is up Nancy--the wall just got 10 feet taller @POTUS 🇺🇸 #NoWallNoDeal #BuildTheWall  #AmericaFirst 🇺🇸 https://t.co…</t>
  </si>
  <si>
    <t>@971FMTalk @MarcCox971 Trump 100%.  #MAGAnomics !!</t>
  </si>
  <si>
    <t>@toddstarnes The is only one leader in the Bible that was perfect.  All of the rest (David, Moses, Peter) were used by God despite their flaws</t>
  </si>
  <si>
    <t>@ummmno21 Two things that would stop that in the alternate universe where our president is impeached.  1. The US Constitution or 2. Civil War.</t>
  </si>
  <si>
    <t>Fake news in 3...2...1... https://t.co/HHjXhKJQhB</t>
  </si>
  <si>
    <t>@nytimes Right.....😂😂😂😂😂😂😂😂😂😂😂</t>
  </si>
  <si>
    <t>@EricGreitens Ignore the naysayers.  Brush off the dust and keep your agenda rolling.</t>
  </si>
  <si>
    <t>RT @GaryDeSantis: THE HEARTLAND IS AWAKE!!!!
The Great Awakening Will Be A Wave
Get Ready To #MAGA🇺🇸
#WeThePeople
#TheGreatAwakening
#RedT…</t>
  </si>
  <si>
    <t>@ResistFascism11 @jallman971 No.  We are going to #FireClaire among other things.  #RedWaveRising2018</t>
  </si>
  <si>
    <t>RT @MyBrianLeyh: WOW! Mueller, McCabe &amp;amp; Rosenstein Involved in Cover-Up of FBI Probe Into Uranium-One Bribes https://t.co/Akt14wq1Mx</t>
  </si>
  <si>
    <t>@SecureDemocracy I'm from Missouri.   Not Russian although it is as cold as Siberia this week.</t>
  </si>
  <si>
    <t>RT @ColumbiaBugle: #Reminder: The Angel Moms had dreams for their children, too. We stand with them. Now Congress and POTUS need to decide…</t>
  </si>
  <si>
    <t>@cnnbrk Shut up #fakenews.  😂😂😂😂😂😝</t>
  </si>
  <si>
    <t>#WeThePeople #RedWaveRising #TheGreatAwakening #MAGA #NoDACADeal 🇺🇸🇺🇸🇺🇸 https://t.co/BVAWHIFkQo</t>
  </si>
  <si>
    <t>RT @CrystalLuck63: #WeThePeople #GreatAwakening https://t.co/u2XbKmOe4V</t>
  </si>
  <si>
    <t>#GreatAwakening #Maga #FakeNewsAwards fake news is going down today!!!! 🇺🇸🇺🇸🇺🇸 https://t.co/DPEzHqJuGu</t>
  </si>
  <si>
    <t>#GREATAWAKENING #trumptrain #RedWaveRising2018 #RedNationRising   Keep Fighting!!!🇺🇸🇺🇸🇺🇸🇺🇸🇺🇸🇺🇸🇺🇸🇺🇸🇺🇸🇺🇸🇺🇸🇺🇸 https://t.co/tTQwtRmBLY</t>
  </si>
  <si>
    <t>#greatawakening #wethepeople #maga #thestorm #trump2020 #qanon https://t.co/sPHeVrVwV3</t>
  </si>
  <si>
    <t>Interesting expose' on the motivations of the RINO swamp critters calling for Grietens to resign by @jallman971 this morning.  Only question is do we bring flags to Jeff City this Saturday or should we bring torches &amp;amp; pitchforks???😎🇺🇸</t>
  </si>
  <si>
    <t>RT @Jeffcored: Please join us in Jefferson City on January 20th for 1st Anniversary Trump Rally!  Help us celebrate our victories.  Sign up…</t>
  </si>
  <si>
    <t>Dr. Ronny Jackson should be called Dr Global Warming. Snowflakes are melting EVERYWHERE because of his report😂😂😂😂</t>
  </si>
  <si>
    <t>@Alyssa_Milano DACA is going bye bye 🇺🇸🇺🇸🇺🇸</t>
  </si>
  <si>
    <t>@DestroyIllusion @TrumpChess Had that happen to me one time on a flight from STL to San Fran</t>
  </si>
  <si>
    <t>@StephenKing One thing I know, from being a Constant Reader for 35 years, is not to use Stephen King's world view as a moral compass.  Enjoy the next seven years Mr King, it's gonna be awesome. (PS. The dark tower books SUCK!!!!!!).  #MAGA!!!!🇺🇸</t>
  </si>
  <si>
    <t>@ThatEricAlper The Day After https://t.co/vRCXTo7QE4</t>
  </si>
  <si>
    <t>@Gjaxs_ @NJCooper55 @CardinalsRant_ @20154Ryan @MLB @Cardinals There is more to a great player than mere athletic ability. Yadi is all that and more! @Yadimolina04</t>
  </si>
  <si>
    <t>@MLB @Cardinals He has earned his spot in the temple of Baseball (aka Busch III and beyond ). Yadi! Yadi! YADI!!!!!</t>
  </si>
  <si>
    <t>#DickyDurbin hahahahahahahahaha https://t.co/DliFXQZO0a</t>
  </si>
  <si>
    <t>@realDonaldTrump 😂😂😂😂😂😂😂😂😂👏</t>
  </si>
  <si>
    <t>RT @realDonaldTrump: Senator Dicky Durbin totally misrepresented what was said at the DACA meeting. Deals can’t get made when there is no t…</t>
  </si>
  <si>
    <t>@Lil_Red_Hed @RVAwonk I like smoothing the lemon and strawberry together.</t>
  </si>
  <si>
    <t>If #MLKJr was alive today, he would denounce #BlackLivesMatter and embrace #maga!!🇺🇸  #justsaying...</t>
  </si>
  <si>
    <t>@kreisberg Removing him from office will invite a civil war. Three years and then we will fight this out in the ballot box. #LiberalismIsAMentalDisorder #maga!!🇺🇸</t>
  </si>
  <si>
    <t>@3lectric5heep @jaxsonlittle Bring it!</t>
  </si>
  <si>
    <t>RT @Har_vey007: I will follow back the next two hundred people that follow me.
That is Twitter limit for me. Hurry.</t>
  </si>
  <si>
    <t>@971FMTalk @jallman971 The Dems know they have nothing and are throwing everything including the kitchen sink at @realDonaldTrump.   Nothing will stop #MAGA!🇺🇸🇺🇸🇺🇸</t>
  </si>
  <si>
    <t>#ItOnlyTakesAMinuteTo annoy a liberal.  #MAGA!!!</t>
  </si>
  <si>
    <t>#LiberalismIsAMentalDisorder 👇 https://t.co/RGTqlyO62E</t>
  </si>
  <si>
    <t>@971FMTalk @jallman971 @GWrightstone @gatewaypundit @RodneyBoyd @RobRains @TheAlabamaBand What was the announcement this morning concerning Jeff City event??  @jallman971</t>
  </si>
  <si>
    <t>@AP4Liberty @Tamaraw68415067 No way Missouri votes in Claire. Us folks in the sticks awaken with an unprecedented turnout.</t>
  </si>
  <si>
    <t>@StefanMolyneux Tell me about it.  She is an idiot!!!</t>
  </si>
  <si>
    <t>@jamieleecurtis You suck!!! That could be the most lame tweet from Hollywood that I have ever seen.</t>
  </si>
  <si>
    <t>@JulieS604 @EricTrump @realDonaldTrump I would imagine they are seeking answers as well.</t>
  </si>
  <si>
    <t>@Breaking911 Glad Hawaii is safe,  can't believe that Clinton Bush and Obama has allowed this to become a reality.</t>
  </si>
  <si>
    <t>RT @The_Trump_Train: They really hate it when we use the term #MAGA.
It would be a shame if this got 10,000 retweets.
#MakeAmericaGreatAg…</t>
  </si>
  <si>
    <t>#NewNationalAnthemLyrics MAGA MAGA MAGA MAGA MAGA MAGA BIGLY!!!!  🇺🇸🇺🇸🇺🇸🇺🇸</t>
  </si>
  <si>
    <t>Liberals freakin out over the "Pretty Korean Lady" story is so comical. Seems like Libs and Dems are not happy unless they are pissed off or offended.  Truly #LiberlismIsAMentalDisorder</t>
  </si>
  <si>
    <t>@SemiRespect @williamlegate Blocked as well, guy must not like storms</t>
  </si>
  <si>
    <t>@VicenteFoxQue @realDonaldTrump Actually our Constitution grants him the Authority.</t>
  </si>
  <si>
    <t>RT @joeqdiner: @clairecmc  here is your chance to stand up for the 99 percenters in Missouri and cosponsor @SenTedCruz  bill to make tax cu…</t>
  </si>
  <si>
    <t>@toddstarnes I stand with @realDonaldTrump</t>
  </si>
  <si>
    <t>Don't fix what isn't broken... #FixTrumpIn5Words</t>
  </si>
  <si>
    <t>@realDonaldTrump @susanalazart28 AMERICA FIRST!!🇺🇸🇺🇸🇺🇸</t>
  </si>
  <si>
    <t>President Trump is not racist. He is #AmericaFirst and that is a good thing! #MAGA!!!!🇺🇸🇺🇸🇺🇸</t>
  </si>
  <si>
    <t>RT @CollinRugg: It’s comical watching all the Hillary supporters losing their minds about Trump’s Haiti comment, but said absolutely nothin…</t>
  </si>
  <si>
    <t>@SpeakerTimJones As a Grietens supporter, I am disappointed by this but am not bailing on him.  There is something off about e.g. ex husbands story.</t>
  </si>
  <si>
    <t>@CassandraRules You're not down with Q??</t>
  </si>
  <si>
    <t>Listening to Alabama bumper music while descending from the hills of God's County into the STL metro soothed the soul this morning.        🚗💨🌨🌨 @jallman971 @971FMTalk</t>
  </si>
  <si>
    <t>#In300Days the #TrumpTrain goes full throttle!! Next stop #MAGA🇺🇸🇺🇸</t>
  </si>
  <si>
    <t>@7lives4europa @ErengwaM @Breaking911 🚂🚃🚃🚃🚃🚃🇺🇸🇺🇸🇺🇸 All aboard!!!!!</t>
  </si>
  <si>
    <t>@o8dot95 @Breaking911 I am near upper middle class and a $2000 bonus is not breadcrumbs</t>
  </si>
  <si>
    <t>@KPLR11Fuller So close yet so far away</t>
  </si>
  <si>
    <t>@thehill Could change his mind if Canada Stops exporting geese. https://t.co/CXpIHnyRrM</t>
  </si>
  <si>
    <t>@brianklaas One problem. It is not independent. It is deep state driven.</t>
  </si>
  <si>
    <t>RT @realDonaldTrump: .@ICEgov HSI agents and ERO officers, on behalf of an entire Nation, THANK YOU for what you are doing 24/7/365 to keep…</t>
  </si>
  <si>
    <t>RT @realDonaldTrump: The fact that Sneaky Dianne Feinstein, who has on numerous occasions stated that collusion between Trump/Russia has no…</t>
  </si>
  <si>
    <t>RT @realDonaldTrump: The single greatest Witch Hunt in American history continues. There was no collusion, everybody including the Dems kno…</t>
  </si>
  <si>
    <t>RT @realDonaldTrump: It just shows everyone how broken and unfair our Court System is when the opposing side in a case (such as DACA) alway…</t>
  </si>
  <si>
    <t>@nypost @Heatherhamama Won't be watching the Super Bowl or its commercials on @NBC</t>
  </si>
  <si>
    <t>RT @Lrihendry: Hey TRUMPERS! Don’t go all never Trumper on us! Trump will make the best deal that he is able to. Remember he’s only been in…</t>
  </si>
  <si>
    <t>@Thomas1774Paine @wolfster308 Boomerang incoming https://t.co/jcGAUKhdOk</t>
  </si>
  <si>
    <t>@971FMTalk @Beatlebaby64 @MarcCox971 @carps #MAGA would blow her out of the water.</t>
  </si>
  <si>
    <t>RT @realDonaldTrump: As I made very clear today, our country needs the security of the Wall on the Southern Border, which must be part of a…</t>
  </si>
  <si>
    <t>RT @realDonaldTrump: Thanks to all of the Republican and Democratic lawmakers for today’s very productive meeting on immigration reform. Th…</t>
  </si>
  <si>
    <t>#FusionGPS damning evidence against our president  or yet another tar baby for the democrats to stumble over?  Time will tell but I am not concerned.</t>
  </si>
  <si>
    <t>RT @ScottPresler: LEAKED MEMO: The Center For American Progress says that Dreamers are a "critical component of the Democratic Party's futu…</t>
  </si>
  <si>
    <t>@DRUDGE_REPORT Lovecraft was right!!!!!</t>
  </si>
  <si>
    <t>@AP4Liberty Oprah would be like, "you get a tax hike, and you get a tax hike,  YOU ALL GET TAX HIKES!!!!!!"</t>
  </si>
  <si>
    <t>RT @blondefrog123: @seanhannity #hannity Just remember every time a Lib opens his mouth an #unborn baby dies.</t>
  </si>
  <si>
    <t>Include Southern California on the Mexico side of the wall and all is good #Hannity</t>
  </si>
  <si>
    <t>@peggiarnold @SaraCarterDC Yes she is a gem and usually right on target.</t>
  </si>
  <si>
    <t>Thank you @AlanDersh for mentioning the obvious.  Folks that don't like our President gets do over vote in 2020.  That's the way it works</t>
  </si>
  <si>
    <t>RT @CivilWarCometh2: Liberal Dershowitz: ‘Psychiatrists Trying to Diagnose Trump…That’s What They Did in Russia’ https://t.co/s2wYPqzFmg vi…</t>
  </si>
  <si>
    <t>RT @Thomas1774Paine: BREAKING***- RAT SQUAD: Anti-Trump FBI Agents on Mueller’s Russia Probe Busted Leaking Intel to Mainstream Media https…</t>
  </si>
  <si>
    <t>RT @IvankaTrump: Approximately 39 % of rural Americans, or 23M people, lack sufficient broadband connectivity needed to engage in the moder…</t>
  </si>
  <si>
    <t>@LuckeyDean @annanotherthng @christistark012 @inthehands @ThayerBerlyn @ginnyella8 @CanonFodder Anna be assured that we are not a minority. #MAGA is alive and well in the flyover states in America, you know, where all the food and energy is produced. Most of us are too busy working to be noticed but attempt a coup against our president......</t>
  </si>
  <si>
    <t>RT @DTrumpPoll: If you could tell @realDonaldTrump just one thing what would it be?
Please vote &amp;amp; RT 😊</t>
  </si>
  <si>
    <t>RT @realDailyWire: Who would win in 2020? #GoldenGlobes</t>
  </si>
  <si>
    <t>Just watched your escort of Officer O'Connor from my perch over 141 and 64.  A great job👏👏👏#ThinBlueLine #BackTheBlue @stlcountypd @MSHPTrooperC 🇺🇸🇺🇸. 🙏🙏🙏 #MAGA @971FMTalk</t>
  </si>
  <si>
    <t>RT @The_Trump_Train: RETWEET if you think @realDonaldTrump should hold his first rally of 2018 soon! #MAGA</t>
  </si>
  <si>
    <t>@AP4Liberty @clairecmc Voted against tax breaks and hangs out with Russians</t>
  </si>
  <si>
    <t>To check school closings before chewing out your kids via text from work for not waking up for school.  #WhatILearnedToday</t>
  </si>
  <si>
    <t>RT @RealOmarNavarro: It’s done and it’s official. I’ll be running as a Republican in the 43rd Congressional District of California. https:/…</t>
  </si>
  <si>
    <t>RT @kwilli1046: We Owe illegals Nothing! We Owe Our Veterans Everything! Retweet if You Agree! #MAGA #AmericaFirst #TrumpTrain https://t.co…</t>
  </si>
  <si>
    <t>@Cernovich Trump!!!!!  🚂🚃🚃🚃🚃🚃🚃🚃🇺🇸</t>
  </si>
  <si>
    <t>@BandyXLee Just by looking at your twitter feed, I can tell that you are an over educated, unethical attention hound.</t>
  </si>
  <si>
    <t>RT @RealJack: Are you watching the NFL Super Bowl this year? Please vote and retweet!</t>
  </si>
  <si>
    <t>Twitter has been won for the day... https://t.co/4PTqF1eeeZ</t>
  </si>
  <si>
    <t>RT @realDonaldTrump: ....Actually, throughout my life, my two greatest assets have been mental stability and being, like, really smart. Cro…</t>
  </si>
  <si>
    <t>RT @realDonaldTrump: Now that Russian collusion, after one year of intense study, has proven to be a total hoax on the American public, the…</t>
  </si>
  <si>
    <t>This type of attitude from Dems so why we will flip @clairecmc seat in 2018!!  @Monetti4Senate @SykesforSenate @AP4Liberty @HawleyMO supporter when the dust settles after the primary we must unite!!!  No third party vote, no protest vote. NO STAYING AT HOME #MAGA!!!🇺🇸🇺🇸🇺🇸 https://t.co/wAOUlusPam</t>
  </si>
  <si>
    <t>@rachelz971 @tonycolombo971 @971FMTalk   Thought y'all were a little rough on the pot free airline pilot. Can we at least agree that companies, including airlines, can drug screen applicants and employees for pot use and terminate if test found positive ???</t>
  </si>
  <si>
    <t>@AP #MAGA!!!🇺🇸.  Buckle up Libs! Its about to get bumpy!!!!</t>
  </si>
  <si>
    <t>@perfectsliders Oppenheimer. Voted no by mistake.  Meant YES!!!!</t>
  </si>
  <si>
    <t>@StefanMolyneux @Tee_Quake Sure let's fire Jeff Sessions for upholding the federal law.   How dare he...🙄</t>
  </si>
  <si>
    <t>@AP4Liberty @CarolynMcIntosh But Gonzales v Raich.....   especially if said products cross state lines. (Could be the only time I agreed with Ginsburg on anything 😎)</t>
  </si>
  <si>
    <t>@AP4Liberty @CarolynMcIntosh One more stab at this, would you be in favor of allowing marijuana to be sold for medicinal use only?  Meaning that use and possession would require a prescription?   Yes or no?</t>
  </si>
  <si>
    <t>@AP4Liberty Tour any rural Missouri community and you will see the horrifying impact of drug use. It is like a neutron bomb hit. If you ever visit the Farmington area I will be happy to point out some prime locations</t>
  </si>
  <si>
    <t>@AP4Liberty Big difference between medical and recreational use.</t>
  </si>
  <si>
    <t>@AP4Liberty Not following. Please clarify???</t>
  </si>
  <si>
    <t>@AP4Liberty The libertarian stance towards legalization of drugs is one point I can't agree. Not a deal breaker if you end up runining against Claire but please be sensitive on it.</t>
  </si>
  <si>
    <t>@WeezerStillGood Seen the perils of drug addiction first  hand, not interested in legalized weed. But that is just one mans opinion.....</t>
  </si>
  <si>
    <t>@HousewifeOfSO Hey racist, I have family members who are addicted to drugs; they are sad and annoying.</t>
  </si>
  <si>
    <t>#Dow25K Boom Boom POW!!!!📈💵🏦#MAGA 🇺🇸🇺🇸🇺🇸</t>
  </si>
  <si>
    <t>@ummmno21 About time!!!</t>
  </si>
  <si>
    <t>RT @TreyYingst: NEW: Paul Manafort is suing Robert Mueller, the DOJ and Rod Rosenstein
https://t.co/kwhnMjeT2R</t>
  </si>
  <si>
    <t>@TreyYingst Nice!!!!</t>
  </si>
  <si>
    <t>RT @SykesforSenate: This campaign is focused on Missouri, the needs of Missouri, and the @POTUS #MAGA agenda. We will #FireClaire.</t>
  </si>
  <si>
    <t>If our President wanted to be accurate he should have tweeted, "I may not have a nuclear button but I have a Huge Sack!!!! But his tweet was more entertaining I suppose https://t.co/OibXbprjSj</t>
  </si>
  <si>
    <t>@SpeakerTimJones @jallman971 @971FMTalk I'm uneasy. Jamie and Jen both sound like imposters this morning. 😀</t>
  </si>
  <si>
    <t>RT @JackPosobiec: After Trump's button tweet, North Korea has agreed to open a border hotline with South Korea to discuss dialogue between…</t>
  </si>
  <si>
    <t>@jaketapper Have a joint...</t>
  </si>
  <si>
    <t>@brooklynballew @fluffyshotme @realDonaldTrump That respect cost us a lot of cash and bribes.  And NK still has nuclear capability.</t>
  </si>
  <si>
    <t>@BinsackSb @ABC Do you really think that Kim can be reasoned with?  We have endured the doctrine of strategic patience for the past 20 years or so.  Cost us a lot of cash and NK has nuclear capability.  Heck if Hillary would have won Iran would be in the same boat in another decade.</t>
  </si>
  <si>
    <t>Game set match... https://t.co/Fgv7ev4xf9</t>
  </si>
  <si>
    <t>RT @mitchellvii: Liberals are melting down hugely over Trumps nuke tweet, completely ignoring the fact THEY are the reason NK has nukes at…</t>
  </si>
  <si>
    <t>@TheLeadCNN Don't worry. Have another joint.</t>
  </si>
  <si>
    <t>@ballerinaoaf @RepTimWalz @maybellinecat Wait a second. North Korea is a rogue state that is actively pursuing a nuclear weapon deliverable by ICBM and y'all are saying that our President is threatening the world. Cute...</t>
  </si>
  <si>
    <t>@BinsackSb @ABC This is not a war, merely negotiation.  I wonder what tweets would have been like back in the Cuban Missile Crisis?  #wewillburyyou ???? Something like that.</t>
  </si>
  <si>
    <t>@EricTrump @TrumpChess @Twitter Your family is awesome!!!!  Keep up the good fight!!! #maga!!</t>
  </si>
  <si>
    <t>@BinsackSb @ABC Not sure, but NOKO has been posturing this week and is fixin on launching a test shot of its long range ICBM later this week.  They may want to reconsider their stance as there is no handouts coming from this administration.</t>
  </si>
  <si>
    <t>@BinsackSb @ABC In reality, we don't have a nuclear button we have a football.  Also NOKO can't deliver.. yet despite of all the help that clinton bush and Obama gave them.</t>
  </si>
  <si>
    <t>RT @_Makada_: Chelsea Clinton wishes a happy new year to the Church of Satan. https://t.co/4u1BOkn0WR</t>
  </si>
  <si>
    <t>RT @realDonaldTrump: North Korean Leader Kim Jong Un just stated that the “Nuclear Button is on his desk at all times.” Will someone from h…</t>
  </si>
  <si>
    <t>@peterbakernyt @washingtonpost @GlennKesslerWP Fact checkers at Washington Post. Oxymoron.</t>
  </si>
  <si>
    <t>Hey #MAGA.  Let's show him!!! https://t.co/7aCT6250ci</t>
  </si>
  <si>
    <t>RT @realDonaldTrump: Thank you to Brandon Judd of the National Border Patrol Council for your kind words on how well we are doing at the Bo…</t>
  </si>
  <si>
    <t>RT @realDonaldTrump: Crooked Hillary Clinton’s top aid, Huma Abedin, has been accused of disregarding basic security protocols. She put Cla…</t>
  </si>
  <si>
    <t>The Trump Effect - Triggering liberal snowflakes across the nation #MAGA! 🇺🇸</t>
  </si>
  <si>
    <t>RT @DineshDSouza: Since heat &amp;amp; cold are both taken as confirmation of global warming, what, if anything, can disprove this supposedly scien…</t>
  </si>
  <si>
    <t>#IWokeUpThisMorningAnd looked at the thermometer at 0 and wondered if a little global warming would not be a bad thing.....</t>
  </si>
  <si>
    <t>@clairecmc So that means you will back @realDonaldTrump on his Iran policies right???</t>
  </si>
  <si>
    <t>Happy New Years to my followers!!🎉🎊 2017 was a great start and in 2018 we take #MAGA to a new level!!!  #TrumpTrain full speed ahead!!! 🚂🚃🚃🚃🚃🚃🇺🇸🇺🇸🇺🇸</t>
  </si>
  <si>
    <t>@I_AmAmerica Ozark tradition.  I live in town limits so I choose not to partake.</t>
  </si>
  <si>
    <t>@ummmno21 Did the o'douls thing tonight.  Works much better for me. 😀. #knowthyself</t>
  </si>
  <si>
    <t>Nicest thing about  #NewYearsEve2018 will be listening to the gunfire at midnight coming from the Ozark Mountains. Deplorables are everywhere!!!  #MAGA!!!🇺🇸🇺🇸🇺🇸</t>
  </si>
  <si>
    <t>@Shante_Hutton Shotguns in the other hand ... 😀😀😀</t>
  </si>
  <si>
    <t>RT @Steffi_Cole: When you realize 2018 is Claire McCaskill's last year in office. #FireClaire #MOSEN https://t.co/8xIZks2Dlk</t>
  </si>
  <si>
    <t>RT @thebradfordfile: If anyone wants to search the #HumaAbedin email batch--I have converted the PDFs into searchable format. Hosted on my…</t>
  </si>
  <si>
    <t>RT @alanwhite1000: Who really colluded with the Russians?</t>
  </si>
  <si>
    <t>@Twist3dOutlaw @JackPosobiec I'm no scientist but could the dreadnaught be large enough to create its own gravity?</t>
  </si>
  <si>
    <t>@JackPosobiec I kept hoping for Luke to get killed off. I can't stand Hamill anymore.</t>
  </si>
  <si>
    <t>@ummmno21 Don't know you but I am in your corner! 👏👏</t>
  </si>
  <si>
    <t>@llewallen17 @realDonaldTrump Y'all are brainwashing them early eh?</t>
  </si>
  <si>
    <t>@GaryDeSantis @RightWingLawman Our SSNs need to ensure that these covert exchanges start experiencing some accidents. #plausabledeniabilty</t>
  </si>
  <si>
    <t>RT @TeaPartyOrg: Globalists Fear 2018 The Year Of ‘Full Trump’ https://t.co/QTVxAc7mEj</t>
  </si>
  <si>
    <t>@marcuslemonis I stand with our President. 🇺🇸🇺🇸🇺🇸</t>
  </si>
  <si>
    <t>@runcharperrun @realDonaldTrump Sounds like weather to me.</t>
  </si>
  <si>
    <t>@tonycolombo971 @MarcCox971 Missed the vote but for the record an A. He has fought headwinds his whole first year and managed to keep several promises. Looking for a great 2018 with tax breaks coming.  Congress eeked out a C-</t>
  </si>
  <si>
    <t>@uddenbergrikard @PressSec Shotgun, not rifle, just sayin...</t>
  </si>
  <si>
    <t>@AustinOnSocial @Advil @realDonaldTrump Yes Austin, #MAGA is just getting warmed up. Pun intended...😁</t>
  </si>
  <si>
    <t>@realDonaldTrump The liberal backlash to our president's tweet is indisputable  proof of how the public education system has been brainwashing us for the past four decades. Truly well played sir!!! #MAGA🇺🇸 the Paris accord is all about redistribution of wealth.</t>
  </si>
  <si>
    <t>@mattseeberg @realDonaldTrump Summer</t>
  </si>
  <si>
    <t>@pjmcgovern4 @tamarauber @realDonaldTrump Yet we know what bathroom to use so there's that.....   😁</t>
  </si>
  <si>
    <t>@tamarauber @realDonaldTrump Pretty picture. Not seeing a causal (sp?) relationship though.. a natural cycle perhaps?</t>
  </si>
  <si>
    <t>Best President EVER!!!!!! @realDonaldTrump https://t.co/EO7oOpu8Zw</t>
  </si>
  <si>
    <t>@realDonaldTrump @realDonaldTrump wins twitter today #MAGA!!!!  👏👏🇺🇸🇺🇸👏👏🇺🇸🇺🇸👏👏🇺🇸🇺🇸🏆🏆🏆🏆🏆🏆🎊🎉💯</t>
  </si>
  <si>
    <t>@ummmno21 🙏</t>
  </si>
  <si>
    <t>RT @realDonaldTrump: Together, we are MAKING AMERICA GREAT AGAIN! https://t.co/OeyTdFyl1Q https://t.co/wdLQkfdy4m</t>
  </si>
  <si>
    <t>RT @realDonaldTrump: Caught RED HANDED - very disappointed that China is allowing oil to go into North Korea. There will never be a friendl…</t>
  </si>
  <si>
    <t>All I can say is that there is more evidence of fraud in Jefferson County Alabama than there is of Trump Russia Collusion. Go figure 🤔</t>
  </si>
  <si>
    <t>RT @realDonaldTrump: Retail sales are at record numbers. We’ve got the economy going better than anyone ever dreamt - and you haven’t seen…</t>
  </si>
  <si>
    <t>RT @JackPosobiec: This is the Vanity Fair video the Left wants banned from twitter
Be a shame if it went viral https://t.co/3WcuKmuRyq</t>
  </si>
  <si>
    <t>@criticalbruin So Dems are running on fearmongering and emotions. Weak.</t>
  </si>
  <si>
    <t>Cold civil war now leading to what?  This article nails it!!!   https://t.co/1TAzkpAzdp</t>
  </si>
  <si>
    <t>@kbailey971 @SpeakerTimJones @denysschaefer @Pippy971 You got to cut @SpeakerTimJones some slack,  he does not speak "millennial".  😅.</t>
  </si>
  <si>
    <t>Legal Resistance is an euphemism for corruption.</t>
  </si>
  <si>
    <t>Newt Gingrich has a point. Besides  "Russia blah blah blah impeach..". Do the Dems really have anything to run on in 2018?   #MAGA is going to be hard to beat.</t>
  </si>
  <si>
    <t>RT @Monetti4Senate: REJECT the #NEVERTRUMP candidates who will vote against @POTUS #AmericaFirst Agenda
JOIN our movement and bring about…</t>
  </si>
  <si>
    <t>RT @StlCoOEM: Needing to find shelter from the cold?  See ⬇️ #STLwx #STLNews https://t.co/vLrY4qNPDf</t>
  </si>
  <si>
    <t>#NextYearIPromise to my part to #MAGA and work hard to #fireclaire and give Missouri another GOP senator. @HawleyMO @AP4Liberty @SykesforSenate @Monetti4Senate 🇺🇸🇺🇸🇺🇸🇺🇸🇺🇸🇺🇸🇺🇸🇺🇸🇺🇸🇺🇸🇺🇸</t>
  </si>
  <si>
    <t>Good Morning @SpeakerTimJones @971FMTalk   It's COLD outside.  🚗</t>
  </si>
  <si>
    <t>I love living deep in Trump Country. 🇺🇸🇺🇸🇺🇸🇺🇸🇺🇸🇺🇸🇺🇸🇺🇸🇺🇸🇺🇸😅</t>
  </si>
  <si>
    <t>"America is Not Yet Lost"  No, on the contrary we are becoming greater everyday despite the futile resistance of the far left lunatics. #MAGA!!!!!!🇺🇸🇺🇸🇺🇸</t>
  </si>
  <si>
    <t>RT @CharlieDaniels: From all is here at CDB and Twin Pines Ranch we wish you all a peaceful, blessed Merry Christmas 
Good night planet ear…</t>
  </si>
  <si>
    <t>@realDonaldTrump Doing a great job so far Mr President!!!!</t>
  </si>
  <si>
    <t>RT @realDonaldTrump: The Fake News refuses to talk about how Big and how Strong our BASE is. They show Fake Polls just like they report Fak…</t>
  </si>
  <si>
    <t>@washingtonpost #MAGA!!!!!! 🇺🇸🇺🇸🇺🇸🇺🇸🇺🇸🇺🇸🇺🇸🇺🇸🇺🇸🇺🇸</t>
  </si>
  <si>
    <t>RT @realDonaldTrump: Today, it was my great honor to sign the largest TAX CUTS and reform in the history of our country. Full remarks: http…</t>
  </si>
  <si>
    <t>RT @realDonaldTrump: 95% of Americans will pay less or, at worst, the same amount of taxes (mostly far less). The Dems only want to raise y…</t>
  </si>
  <si>
    <t>RT @realDonaldTrump: The United Nations Security Council just voted 15-0 in favor of additional Sanctions on North Korea. The World wants P…</t>
  </si>
  <si>
    <t>RT @realDonaldTrump: Remember, the most hated part of ObamaCare is the Individual Mandate, which is being terminated under our just signed…</t>
  </si>
  <si>
    <t>@ummmno21 But you are one of my favorites!!!</t>
  </si>
  <si>
    <t>RT @realDonaldTrump: Our big and very popular Tax Cut and Reform Bill has taken on an unexpected new source of “love” - that is big compani…</t>
  </si>
  <si>
    <t>RT @realDonaldTrump: At some point, and for the good of the country, I predict we will start working with the Democrats in a Bipartisan fas…</t>
  </si>
  <si>
    <t>RT @realDonaldTrump: “The President has accomplished some absolutely historic things during this past year.” Thank you Charlie Kirk of Turn…</t>
  </si>
  <si>
    <t>RT @realDonaldTrump: Will be signing the biggest ever Tax Cut and Reform Bill in 30 minutes in Oval Office. Will also be signing a much nee…</t>
  </si>
  <si>
    <t>#CharlieBrownChristmas that's what Christmas is all about Charlie Brown</t>
  </si>
  <si>
    <t>@ummmno21 Clearly he never played Risk as a child.</t>
  </si>
  <si>
    <t>Hey #UNGA We really do not give a rip what y'all think. #AmericaFirst #maga 🇺🇸&amp;gt;🌏</t>
  </si>
  <si>
    <t>@AP And our security council veto TRUMPED them all.  #AmericaFirst 🇺🇸🇺🇸🇺🇸🇺🇸🇺🇸🇺🇸🇺🇸🇺🇸</t>
  </si>
  <si>
    <t>RT @realDonaldTrump: House Democrats want a SHUTDOWN for the holidays in order to distract from the very popular, just passed, Tax Cuts. Ho…</t>
  </si>
  <si>
    <t>RT @realDonaldTrump: Stocks and the economy have a long way to go after the Tax Cut Bill is totally understood and appreciated in scope and…</t>
  </si>
  <si>
    <t>RT @realDonaldTrump: Home Sales hit BEST numbers in 10 years! MAKE AMERICA GREAT AGAIN</t>
  </si>
  <si>
    <t>RT @realDonaldTrump: The Massive Tax Cuts, which the Fake News Media is desperate to write badly about so as to please their Democrat bosse…</t>
  </si>
  <si>
    <t>RT @realDonaldTrump: Was @foxandfriends just named the most influential show in news? You deserve it - three great people! The many Fake Ne…</t>
  </si>
  <si>
    <t>RT @realDonaldTrump: WE ARE MAKING AMERICA GREAT AGAIN! https://t.co/HY353gXV0R</t>
  </si>
  <si>
    <t>@rgreader @Tee_Quake @DykstraDame @ThomasWictor @rogeramos6 @Bud_Doggin @big_carsonrocks @Jim_Peoples_ @DineshDSouza @RealJamesWoods @realDonaldTrump Welcome. We were expecting you and saved a seat 🚂🚃🚃🚃🇺🇸</t>
  </si>
  <si>
    <t>@RinoNewsdotcom @realDonaldTrump One can hope....🙏🙏</t>
  </si>
  <si>
    <t>#GOPTaxBillScam Give it up snowflakes, #MAGA wins! 🇺🇸🤑🇺🇸🤑🇺🇸🤑🇺🇸🤑🇺🇸🤑🇺🇸🤑🇺🇸🤑🇺🇸🤑🇺🇸🤑🇺🇸 #ThankYouPOTUS</t>
  </si>
  <si>
    <t>@realDonaldTrump Thank you Mr President @POTUS</t>
  </si>
  <si>
    <t>RT @realDonaldTrump: We are delivering HISTORIC TAX RELIEF for the American people!
#TaxCutsandJobsAct https://t.co/lLgATrCh5o</t>
  </si>
  <si>
    <t>@Baconboy23 @FoxNews @POTUS And the problem with that is??? (Keep in mind there was healthcare before the ACA)</t>
  </si>
  <si>
    <t>#TaxCutsandJobsAct MERRY CHRISTMAS DEPLORABLES!!!#MAGA!! https://t.co/L7pLzlVYRn</t>
  </si>
  <si>
    <t>RT @CramerSez: 🐸
#RosieODonnell has offered $4M bribe to ensure you keep less of your hard-earned paycheck…
LET THAT SINK IN
#TaxCutsand…</t>
  </si>
  <si>
    <t>@MizQue You are confusing income deductions with tax credits.   I would recommend finding a tax calculator on the net. I think you will be surprised.</t>
  </si>
  <si>
    <t>The real question is how many Dems did @Rosie Rosie O'Donnell bribe to vote against our tax cut?  How many Senators did she bribe to defeat healthcare reform?  #TaxCutsandJobsAct #Corruption #LockHerUp</t>
  </si>
  <si>
    <t>RT @thehill: Rosie O’Donnell offers to give GOP senators millions of dollars in exchange for voting against tax bill: https://t.co/dB4X0hM8…</t>
  </si>
  <si>
    <t>Hey @Rosie Rosie o'donnell.  FBI is coming for you 😅😅😅😅😅 #bribery #felon #LiberalismIsAMentalDisorder #maga🇺🇸🇺🇸🇺🇸🇺🇸🇺🇸🇺🇸🇺🇸</t>
  </si>
  <si>
    <t>@MizQue But the $300 per person tax credit on the more than compensates for that.  The same  family of 4 can subtract $1200 from total tax.</t>
  </si>
  <si>
    <t>RT @realDonaldTrump: DOW RISES 5000 POINTS ON THE YEAR FOR THE FIRST TIME EVER - MAKE AMERICA GREAT AGAIN!</t>
  </si>
  <si>
    <t>RT @realDonaldTrump: Congratulations to Paul Ryan, Kevin McCarthy, Kevin Brady, Steve Scalise, Cathy McMorris Rodgers and all great House R…</t>
  </si>
  <si>
    <t>RT @realDonaldTrump: The Tax Cuts are so large and so meaningful, and yet the Fake News is working overtime to follow the lead of their fri…</t>
  </si>
  <si>
    <t>RT @ThomasPKennedy3: It is hereby requested of the @FBI that Rosie O'Donnell be charged for Bribery of Public Officials - 18 U.S.C. § 201…</t>
  </si>
  <si>
    <t>@SenWarren Nah,  I'm good 😎</t>
  </si>
  <si>
    <t>RT @mcintyremike: tfw Rosie O'Donnell commits a federal crime on Twitter. https://t.co/5hddBmU7sL</t>
  </si>
  <si>
    <t>RT @jhawk1986: Senate Republicans 
#TaxCutsandJobsAct 
Democrats are bums, vote them out https://t.co/SNKuXmaqpy</t>
  </si>
  <si>
    <t>RT @realDonaldTrump: The United States Senate just passed the biggest in history Tax Cut and Reform Bill. Terrible Individual Mandate (Obam…</t>
  </si>
  <si>
    <t>RT @SpeakerTimJones: Agreed. Just did. Done. #MerryChristmas https://t.co/6Wr0DAQpOZ</t>
  </si>
  <si>
    <t>Hoist the Gadsden Flag high #teaparty. We win!!!! #maga!!! https://t.co/oXOsaCVNfN</t>
  </si>
  <si>
    <t>@FBI some law have to be broken below 👇👇👇 https://t.co/thpVyYifW0</t>
  </si>
  <si>
    <t>Clear the damn gallery!!! #TaxCutsandJobsAct</t>
  </si>
  <si>
    <t>@_lisha_love That was a point of order vote. Main event is now</t>
  </si>
  <si>
    <t>You'll see</t>
  </si>
  <si>
    <t>Schumer blah blah blah blah blah blah blah blah blah blah #TaxCutsandJobsAct</t>
  </si>
  <si>
    <t>You can't spend your way out of debt. But #MAGAnomics can grow us out of it if the Dims quit obstructing.   #TaxCutsandJobsAct</t>
  </si>
  <si>
    <t>Desire to witness history vs desire to sleep.  Let's wrap this up.  #TaxCutsandJobsAct</t>
  </si>
  <si>
    <t>And one again Dems preaching class warefare.  I won't pay as much taxes in a lifetime that a millionaire will pay in one year.  #TaxCutsandJobsAct</t>
  </si>
  <si>
    <t>@SpeakerTimJones @realDonaldTrump With all due respect. Your federal  counterparts need to be more efficient with these debates. It is not like any senators will change their mind tonight. And 95% of the country is not watching. So let's vote already. 🇺🇸🇺🇸🇺🇸</t>
  </si>
  <si>
    <t>@lbloveslife1964 @BresPolitico Nope.</t>
  </si>
  <si>
    <t>O little town of #Ferguson  #MessUpAChristmasSong</t>
  </si>
  <si>
    <t>@Duckypam Cspan say 11est</t>
  </si>
  <si>
    <t>@ummmno21 The glitch in today's procedure is making it more drawn out and agonizing for them. 😅😅😅</t>
  </si>
  <si>
    <t>RT @LaurieWalters19: Who thinks this GOP #TaxScamBill will benefit the rich &amp;amp; cause an economic disaster? @realDonaldTrump @SpeakerRyan @Ho…</t>
  </si>
  <si>
    <t>The more it gets liberals to cry, the better it will be.  #TaxCutsandJobsAct</t>
  </si>
  <si>
    <t>RT @RepJasonSmith: Retweet if you're ready for more jobs, lower taxes and a bigger paycheck. #TaxCutsAndJobsAct</t>
  </si>
  <si>
    <t>RT @DBloom451: #BREAKING💥 @SenateMajLdr McConnell says Senate will vote TONIGHT on Trump's #TaxCutsandJobsAct after it advances through the…</t>
  </si>
  <si>
    <t>RT @realDonaldTrump: A  story in the @washingtonpost that I was close to “rescinding” the nomination of Justice Gorsuch prior to confirmati…</t>
  </si>
  <si>
    <t>How awesome would it be if Both the House And the Senate pass the Tax Bill today 🤑? #MAGA🇺🇸🇺🇸🇺🇸@RepJasonSmith @RoyBlunt</t>
  </si>
  <si>
    <t>Who are we as a country???  Simple.  WE ARE #MAGA!!! 🇺🇸🇺🇸🇺🇸 #AmericaFirst #trumptrain #TrumpTrain2020 https://t.co/2R9vosyliT</t>
  </si>
  <si>
    <t>RT @Trumpfan1995: We support @POTUS 
We are #MAGA strong.
Nothing will ever change that.
I and countless other patriots will continue to…</t>
  </si>
  <si>
    <t>RT @TheGreatFeather: https://t.co/8zyVZuUKtc</t>
  </si>
  <si>
    <t>Since he is Trending. I must add that Gorsuch was the perfect Scotus pick.  We need at least two more of him to lock #Maga in for the next 40 years 🇺🇸🇺🇸🇺🇸🇺🇸🇺🇸🇺🇸🇺🇸🇺🇸🇺🇸🇺🇸</t>
  </si>
  <si>
    <t>RT @realDonaldTrump: When the American People speak, ALL OF US should listen. Just over one year ago, you spoke loud and clear. On November…</t>
  </si>
  <si>
    <t>@tonycolombo971 @971FMTalk @MarcCox971 Leave it alone. The investigation is going to come crashing down like a house of cards anyway.   When the dust settles Trump and MAGA will still be standing. 🇺🇸🇺🇸🇺🇸. (Maybe some Dems will get indicted as well)</t>
  </si>
  <si>
    <t>RT @JackPosobiec: Antifa has targeted trains for weeks very near where the Amtrak derailment tragedy took place today</t>
  </si>
  <si>
    <t>RT @Cernovich: ANTIFA group bragged about pouring concrete on train tracks in now deleted post https://t.co/yOSPd1OWdz</t>
  </si>
  <si>
    <t>RT @DonaldJTrumpJr: Linda Sarsour Accused Of Enabling Sexual Assault Against Woman Who Worked For Her https://t.co/sa0rxkDOBS</t>
  </si>
  <si>
    <t>So if I read them right. This post violates twitter's new rules👁‍🗨 https://t.co/PCRxFPolbE</t>
  </si>
  <si>
    <t>@RationalQuery @cindy_louwho Where?</t>
  </si>
  <si>
    <t>RT @Cernovich: Woman's march co-organizer accused of covering up sexual assault. 
https://t.co/haOyo1ZnpE</t>
  </si>
  <si>
    <t>@VG07TV Yes tell him thank you🇺🇸🇺🇸🇺🇸🇺🇸</t>
  </si>
  <si>
    <t>RT @HawleyMO: .@clairecmc absolutely refuses to deliver real tax relief for Missouri. Just look at 50 of her worst votes on taxes: https://…</t>
  </si>
  <si>
    <t>RT @jeepsuzih2: 2018  ➡ 23 Demon👿 Senators are up for reelection We Can not let them Win!!!! 
#MAGA 
#Patriots https://t.co/CGX0Rmh9XH</t>
  </si>
  <si>
    <t>RT @Dare2bebeautif1: @starcrosswolf @BethanyJuno @MichelleRMed @GartrellLinda @AmericanHotLips @FemalesForTrump @WolfensPride @inittowinit0…</t>
  </si>
  <si>
    <t>Happy Sunday #Deplorables!! I pray and have faith that this will be a great week!  Tax reform passes and the Mueller witch hunt collapses like a house of cards!  #MAGA!!! 🇺🇸🙏</t>
  </si>
  <si>
    <t>RT @SupportTrump10: #SundayMorning
2 Scoops!
2 Genders!
2 Diet Cokes!
2 Terms!
1 GOD!</t>
  </si>
  <si>
    <t>@AP4Liberty Feels like a pyramid scheme to me.</t>
  </si>
  <si>
    <t>@TimothyFyock @PamB60 @WolfensPride @writemombritt @DcDeplorable @kwilli1046 @Tamaraw68415067 @BlueSea1964 @onedovealone @RNRKentucky @Rose4Austin2018 @wattsjim @TrumpsDC @The_Mad_Rebel @inittowinit007 @NIVIsa4031 Done</t>
  </si>
  <si>
    <t>RT @FoxNews: BREAKING NEWS: Trump transition team sends letter to lawmakers; claims Mueller team inappropriately obtained private documents…</t>
  </si>
  <si>
    <t>@thehill Right....    just like the polls that said Hillary was going to take Ohio in a landslide.</t>
  </si>
  <si>
    <t>Sure are a whole lot of liberals crying for a civil war this weekend. Y'all nervous??? #maga</t>
  </si>
  <si>
    <t>STORM WARNING FOR THE SWAMP. #TheStorm https://t.co/QYBruT0bwm</t>
  </si>
  <si>
    <t>@TomSteyer @realDonaldTrump  https://t.co/45W1FTrYRL</t>
  </si>
  <si>
    <t>RT @johncardillo: This Mueller, DOJ, FBI house of cards is about to come crashing down. 
We will never forget those, especially the “pure…</t>
  </si>
  <si>
    <t>RT @IdyllicLiving: #SaturdayMorning #Poll: Have you heard about #QAnon? Please retweet for larger sample.
#NetNeutrality #Imtoooldto #Chris…</t>
  </si>
  <si>
    <t>We must impeach, because President Trump is #winning!!  We hate lower taxes, less regulation and America in general....  🇺🇸🇺🇸🇺🇸 #MAGA!!!!</t>
  </si>
  <si>
    <t>RT @realDonaldTrump: As a candidate, I promised we would pass a massive tax cut for the everyday, working Americans. If you make your voice…</t>
  </si>
  <si>
    <t>RT @realDonaldTrump: Great job Kevin, we are all proud of you! https://t.co/K6hEEaOxKt</t>
  </si>
  <si>
    <t>@GomezReporting @msdwallace We were heard loud and clear in November 2016</t>
  </si>
  <si>
    <t>@PPact @msdwallace #DefundPP #abortionismurder</t>
  </si>
  <si>
    <t>@Rayafineart @Thomas1774Paine Whatever helps you sleep...  😅😅😅</t>
  </si>
  <si>
    <t>@RepMikeCoffman Does the bill still contain the family tax credits?</t>
  </si>
  <si>
    <t>RT @AgitatedR3dneck: OMG, @realDonaldTrump is the worst! He won't regulate my health insurance or my internet and he's forcing me to take h…</t>
  </si>
  <si>
    <t>Have a happy weekend liberals. #MAGA continues next week!!🇺🇸🇺🇸#thestorm #taxbill #FridayFeeling</t>
  </si>
  <si>
    <t>@Rosie This is insanity??? no THIS IS #MAGA!!!!!!!!!!🇺🇸🇺🇸🇺🇸🇺🇸🇺🇸🇺🇸🇺🇸🇺🇸🇺🇸🇺🇸🇺🇸🇺🇸🇺🇸🇺🇸🇺🇸🇺🇸🇺🇸🇺🇸🇺🇸🇺🇸🇺🇸🇺🇸🇺🇸🇺🇸🇺🇸🇺🇸🇺🇸🇺🇸🇺🇸🇺🇸🇺🇸🇺🇸🇺🇸🇺🇸🇺🇸🇺🇸🇺🇸🇺🇸🇺🇸🇺🇸🇺🇸🇺🇸🇺🇸🇺🇸🇺🇸🇺🇸🇺🇸🇺🇸🇺🇸🇺🇸🇺🇸🇺🇸🇺🇸🇺🇸🇺🇸🇺🇸🇺🇸</t>
  </si>
  <si>
    <t>@UnionguyPEI @DailyCaller Nah, we are all good here.  At worst our two sides are like two alley cats growling at each other with tucked back ears.   But most of the population is in the middle.</t>
  </si>
  <si>
    <t>@Thomas1774Paine Tock tick😅😅😅</t>
  </si>
  <si>
    <t>@Mdtwets Did Jakarta feel it?</t>
  </si>
  <si>
    <t>@RepJasonSmith #MAGA !!!🇺🇸🇺🇸🇺🇸</t>
  </si>
  <si>
    <t>#NetNeturality hmm nothing has changed</t>
  </si>
  <si>
    <t>RT @dbongino: Oh my 👇🏻👇🏻 https://t.co/bfVFjdvCmo</t>
  </si>
  <si>
    <t>@NavySailor_75 @realDonaldTrump Wonder if congress could make it a federal crime?</t>
  </si>
  <si>
    <t>@ElevationRadio @mitchellvii Touche'.</t>
  </si>
  <si>
    <t>RT @ARmastrangelo: #NetNeutrality doesn't mean neutral, just like #AffordableCareAct doesn't mean affordable, just like #PlannedParenthood…</t>
  </si>
  <si>
    <t>@DRUDGE_REPORT Nor should he...</t>
  </si>
  <si>
    <t>RT @Pepperpapaw: Must be that Liberal Common Core Math! https://t.co/95wY5GXJIv</t>
  </si>
  <si>
    <t>Irony in this is that The Hill now has Pizzagate trending 🙄. Silly liberals https://t.co/J3Te6PDt5R</t>
  </si>
  <si>
    <t>@AP @ksdknews In related news, the sea level just rises 3 ft due to melting snowflakes.</t>
  </si>
  <si>
    <t>RT @eastwood114: It is Nov 2020. Do you elect Donald Trump?  Vote and RT. @realDonaldTrump</t>
  </si>
  <si>
    <t>@jillwilhelm That explains all the sirens...</t>
  </si>
  <si>
    <t>@Monetti4Senate We need to #fireclaire and #MAGA!!!!</t>
  </si>
  <si>
    <t>RT @Monetti4Senate: ABSOLUTELY - AND I WILL BE ONE OF THEM IN THE GREAT STATE OF MISSOURI! #StandUp4Missouri #Monetti4Senate https://t.co/o…</t>
  </si>
  <si>
    <t>RT @Monetti4Senate: Sebastian Gorka has a Message for the Forgotten Men and Women of Missouri! 
#MoSen 
LIKE &amp;amp; SHARE
@SebGorka @FoxNews…</t>
  </si>
  <si>
    <t>It is time to end the Mueller witch hunt!!!!   Enough is enough!!!! #MAGA!!🇺🇸🇺🇸🇺🇸</t>
  </si>
  <si>
    <t>#MyBattleCryWouldBe DON'T TREAD ON ME!!!! #MAGA!!!🇺🇸 https://t.co/XsHa6w4WYt</t>
  </si>
  <si>
    <t>@FoxNews @bricrem2 Can't wait!!!  #MAGA!!!! 👏👏👏🇺🇸🇺🇸🇺🇸</t>
  </si>
  <si>
    <t>RT @PrisonPlanet: Oh I forgot, only Hillary Clinton supporters do that. 🤗 https://t.co/HVQMaeQOr3</t>
  </si>
  <si>
    <t>RT @Trumpfan1995: Do you believe that voter fraud occurred in the #AlabamaSenateElection? Do vote and retweet. #MAGA #Trump</t>
  </si>
  <si>
    <t>@AP4Liberty I pledge to vote GOP regardless of who wins. NO WRITE IN, NO 3RD PARTY, NO STAYING AT HOME. #FireClaire</t>
  </si>
  <si>
    <t>@AP4Liberty @MissouriGOP Claire is going to throw the race card, the woman card and the tax card.  Expect everything including the kitchen sink!</t>
  </si>
  <si>
    <t>@mitchellvii @pink_lady56 There is a rat, but not sure it is worth chasing....</t>
  </si>
  <si>
    <t>RT @971FMTalk: @jallman971: I'm more afraid of the #DeepState and the #swamp than I'll ever be of Russia. #allman971</t>
  </si>
  <si>
    <t>RT @JackPosobiec: There is now a smoking gun of top FBI officials during the campaign discussing an “insurance policy” to prevent Trump fro…</t>
  </si>
  <si>
    <t>@KevinAllred @MeldeLawrence #MAGA!!!</t>
  </si>
  <si>
    <t>RT @realDonaldTrump: Wow, more than 90% of Fake News Media coverage of me is negative, with numerous forced retractions of untrue stories.…</t>
  </si>
  <si>
    <t>RT @SebGorka: Well, well, well .......
https://t.co/VzbDXfssLd</t>
  </si>
  <si>
    <t>@mitchellvii Jefferson county must have had a 50% turnout to hit 200000 voters</t>
  </si>
  <si>
    <t>RT @TomFitton: In Texts, F.B.I. Officials in Russia Inquiry Said Clinton ‘Just Has to Win’.  What were these two doing any near the Trump i…</t>
  </si>
  <si>
    <t>@patriot_jaynews @realDonaldTrump @MooreSenate It is sketchy and chances are there is fraud, but the 20k write in would have made the difference.   Alabama GOP and RNC choked.   We have one year to learn from this fiasco.</t>
  </si>
  <si>
    <t>@AP4Liberty @CWalston108 I don't know you from Adam Mr Petersen, but if you have any skeletons in the closet, now is the time. Claire now knows how she can hold on to her seat.</t>
  </si>
  <si>
    <t>RT @FoxNews: BREAKING: Texts between ex-Mueller team members emerge, calling #Trump 'loathsome human,' 'an idiot' https://t.co/s26DMsUVkz</t>
  </si>
  <si>
    <t>RT @bella_baccis: @realDonaldTrump claims he has a 45% approval rating. Let's RT the fuck out of this and see what happens. For science and…</t>
  </si>
  <si>
    <t>@bella_baccis @farmerfar55 @realDonaldTrump #AmericaFirst</t>
  </si>
  <si>
    <t>RT @realDonaldTrump: Congratulations to Doug Jones on a hard fought victory. The write-in votes played a very big factor, but a win is a wi…</t>
  </si>
  <si>
    <t>@reg1776 That cost us. BIGLY</t>
  </si>
  <si>
    <t>Notice how Deplorables won't be rioting tomorrow. #shakeitoff #AlabamaSenateElection</t>
  </si>
  <si>
    <t>Oops</t>
  </si>
  <si>
    <t>Thanks for nothing protest write ins. Liberals circle the wagons. Republicans circle the firing line. #maga🇺🇸🇺🇸🇺🇸 #AlabamaSenateElection</t>
  </si>
  <si>
    <t>@kimisanauthor37 Congrats on your victory.  Crow tastes bad ☹️</t>
  </si>
  <si>
    <t>@TomRichey Agreed. Protest votes tend to muck things up.  Not to be underestimated.</t>
  </si>
  <si>
    <t>@kimisanauthor37 Though I am in opposition, I appreciate your enthusiasm. But I am in Missouri so I am on the sidelines.</t>
  </si>
  <si>
    <t>Like Nov 2016 again. Loving it. Let's go #maga!!!🇺🇸🇺🇸🇺🇸🇺🇸🇺🇸🇺🇸🇺🇸🇺🇸 #AlabamaSenateElection</t>
  </si>
  <si>
    <t>And Moore takes the lead 🇺🇸 #AlabamaSenateElection</t>
  </si>
  <si>
    <t>@mcoop @TheDemocrats Racist</t>
  </si>
  <si>
    <t>@kimisanauthor37 Better simmer down there.....</t>
  </si>
  <si>
    <t>@edromojo The one time when NYT is useful.</t>
  </si>
  <si>
    <t>#AlabamaSenateElection 7 pm peeps. Let the Alabama 2017 civil war commence.. LETS GET READY TO RUMBLE!!!!!! 🇺🇸🇺🇸🇺🇸🇺🇸🇺🇸🇺🇸🇺🇸🇺🇸🇺🇸🇺🇸🇺🇸🇺🇸🇺🇸🇺🇸🇺🇸🇺🇸🇺🇸🇺🇸🇺🇸🇺🇸🇺🇸🇺🇸🇺🇸🇺🇸🇺🇸🇺🇸🇺🇸🇺🇸🇺🇸🇺🇸🇺🇸🇺🇸🇺🇸🇺🇸🇺🇸🇺🇸🇺🇸🇺🇸🇺🇸🇺🇸🇺🇸🇺🇸</t>
  </si>
  <si>
    <t>RT @kwilli1046: A No-Brainer! Retweet if you agree. https://t.co/M1ZsDRMwGN</t>
  </si>
  <si>
    <t>RT @JasonSmithMO: Also worth reading on #TaxReform is Heritage Foundation’s Adam Michel: “Families Across America Can Expect a Tax Cut” htt…</t>
  </si>
  <si>
    <t>@joncoopertweets @kbrown65807 None of the allegations happened while  Our President has been in office.  Duh...</t>
  </si>
  <si>
    <t>RT @SaraCarterDC: https://t.co/pzMVNPzkaT</t>
  </si>
  <si>
    <t>RT @TeaPartyOrg: SICK: Democrats Sacrifice Their Own In Plot To Take Down Trump https://t.co/uIgwzSNFfk</t>
  </si>
  <si>
    <t>So much HATE from the left on twitter today.   #AlabamaSenateElection</t>
  </si>
  <si>
    <t>@kindlee55 @KateMartushoff @KristenClarkeJD How many times do democrats get to vote?!?</t>
  </si>
  <si>
    <t>@Cernovich Let er rip tater chip!!!</t>
  </si>
  <si>
    <t>@Alyssa_Milano How exactly is it gender bullying?</t>
  </si>
  <si>
    <t>RT @gatewaypundit: Just got off phone with top Conservative Activist in #Alabama - Was Told Turn Out today is Unprecedented with @MooreSena…</t>
  </si>
  <si>
    <t>War cry????? 🏹🏹🏹 https://t.co/zxhlubIBDw</t>
  </si>
  <si>
    <t>RT @Franklin_Graham: Praying for Roy Moore.</t>
  </si>
  <si>
    <t>RT @Lrihendry: Dear Alabama, if you have Q’s whether Roy Moore is telling the truth, you know in your heart of hearts that the Democrats ar…</t>
  </si>
  <si>
    <t>RT @CorruptNoMore: Dear Alabama, remember we are at war with the globalist elites &amp;amp; their watchdog the media. We shocked them in Nov.16th,…</t>
  </si>
  <si>
    <t>RT @LElizaBria: "Dear Alabama" Just remember the indignant left supports murdering babies, lies to you constantly, has tried through sediti…</t>
  </si>
  <si>
    <t>RT @Shazbotacus: Dear Alabama, ignore the leftist trash encouraging you to vote for an equally trash leftist candidate.</t>
  </si>
  <si>
    <t>RT @LElizaBria: "Dear Alabama" Reject the left who hates you &amp;amp; would rather you be dead then for you to vote your conscience &amp;amp; elect godly…</t>
  </si>
  <si>
    <t>Dear Alabama. The elitist blue state snobs are initiating a full court press this morning. They have called you racist, stupid and other derogatory terms for months.  Time to put them in their place and vote #RoyMoore into Senate. #MAGA!!! 🇺🇸🇺🇸🇺🇸</t>
  </si>
  <si>
    <t>RT @DulingDarlene: VOTE JUDGE ROY MOORE TODAY ALABAMA AMERICA~🇺🇸 https://t.co/FB6UNawSWU</t>
  </si>
  <si>
    <t>RT @StockMonsterVIP: Nunes kicking deep state b*tt as Mueller Probe Collapses!! 
Not only did top DOJ, Bruce Ohr meet Chris Steele and Gle…</t>
  </si>
  <si>
    <t>@ElDu @MattorShirley @jameshohmann Learn something new everyday. Thanks 😀</t>
  </si>
  <si>
    <t>@CillizzaCNN Quit lying to us.</t>
  </si>
  <si>
    <t>Hey Alabama! Annoy a liberal; vote for #RoyMoore!  The meltdown Wednesday will be well worth your efforts.</t>
  </si>
  <si>
    <t>@JkhouryNS It only shows that Canadians do not understand America.</t>
  </si>
  <si>
    <t>RT @OneManRockr: @MegynTODAY This Jessica Leeds? Ok, shut the hell up. https://t.co/vWdVF56ta1</t>
  </si>
  <si>
    <t>@AP4Liberty Direct communication. Reason why I like @realDonaldTrump tweets.</t>
  </si>
  <si>
    <t>@ckmarie Gee who saw that coming?  Libs are horrible chess players. #maga!!!🇺🇸🇺🇸🇺🇸</t>
  </si>
  <si>
    <t>@EvanOBrien92 @jasonweiss691 @TaurienneSarena @CBSNews @POTUS I believe the photo.</t>
  </si>
  <si>
    <t>RT @realDonaldTrump: Things are going really well for our economy, a subject the Fake News spends as little time as possible discussing! St…</t>
  </si>
  <si>
    <t>RT @realDonaldTrump: Very little discussion of all the purposely false and defamatory stories put out this week by the Fake News Media. The…</t>
  </si>
  <si>
    <t>RT @realDonaldTrump: Another false story, this time in the Failing @nytimes, that I watch 4-8 hours of television a day - Wrong!  Also, I s…</t>
  </si>
  <si>
    <t>@JenEnnenbach Not uncommon on my daily commute.</t>
  </si>
  <si>
    <t>@CharlesMBlow Without reading it I can assume that is another racist liberal rant against Alabama's next Senator without any real facts.  NYT propaganda. Fake Journalism at its worst.    Am I right?</t>
  </si>
  <si>
    <t>RT @JulianSvendsen: @realDonaldTrump Do you support our POTUS? (Retweet after voting!😘)</t>
  </si>
  <si>
    <t>@DrShaminEabenso @realDonaldTrump Thank you 👏👏👏🇺🇸🇬🇧</t>
  </si>
  <si>
    <t>@renato_mariotti @kbrown65807 Maybe if the MSM would just report the truth....</t>
  </si>
  <si>
    <t>RT @SpeakerTimJones: Perfect example of why a large majority of Americans have had it w/ liberal “mainstream” #fakenews &amp;amp; exactly why those…</t>
  </si>
  <si>
    <t>@washingtonpost I call on any Senator, who has called on @realDonaldTrump to resign, to resign!</t>
  </si>
  <si>
    <t>RT @Dbargen: Look at those Hitlers! @afBranco cartoon #ISRAEL https://t.co/bfSvauk3t9</t>
  </si>
  <si>
    <t>@AimeeEcho @2000Armyofone @muddleagespread @PattyArquette Which 100% explains the need for the electoral college.</t>
  </si>
  <si>
    <t>So this week @realDonaldTrump recognized Jerusalem as Irsael's capitol and attended the opening of the Civil Rights Museum.   Yet the left wants us to believe that he is a racist and a nazi.  #LiberalismIsAMentalDisorder #maga. #Trump2020🇺🇸🇺🇸🇺🇸</t>
  </si>
  <si>
    <t>@TravisAllen02 @SoMeMediaInc @realDonaldTrump Restricting the Black Vote?  No way to back that claim.</t>
  </si>
  <si>
    <t>Dogs and cats living together.... #2018PredictionsIn5Words</t>
  </si>
  <si>
    <t>RT @RealMAGASteve: Good Morning My Fellow Patriots 🇺🇸
Have a Great Day My Friends 🇺🇸
#InGodWeTrust 🇺🇸
Let's #MAGA All Day https://t.co/uhFt…</t>
  </si>
  <si>
    <t>@FoxNews @POTUS Hate to break it to all the resist leftist idiots...  @realDonaldTrump is not a racist.  #MAGA is for all Americans🇺🇸</t>
  </si>
  <si>
    <t>@c2young @globeandmail Pure rubbish, the whole rant collapses on the weak construct that America was united until the 2016 election.</t>
  </si>
  <si>
    <t>@UrbanGirlYoga @humanistsue @dismont_lisa @fordyce_greg @efoster_eric @jeremyscahill Or y'all could organize an wait till the next election and try to vote him out. Much less bloodshed that way. 🇺🇸</t>
  </si>
  <si>
    <t>@JanBrown7 Do you know that black home ownership rate is higher now than any other time in US history?  (Btw, @potus is not a racist)</t>
  </si>
  <si>
    <t>@MomsAction @clairecmc What if we could make green energy profitable?  Both to the manufacturer AND the consumer? Check out SunDancer Hybrid Solar/ Biomass Power by Keith Burnett on @Kickstarter https://t.co/6fPci20A1D</t>
  </si>
  <si>
    <t>@ScottPresler Pensacola is a  #MAGA revival!!!!</t>
  </si>
  <si>
    <t>@kaitlancollins @drawandstrike Shaddup fake news!!!!!!!</t>
  </si>
  <si>
    <t>@FoxNews @Cookiemuffen @POTUS @kickstarter With our America innovation and spirit we can create plenty of energy and jobs across our nation.</t>
  </si>
  <si>
    <t>@Evan_McMullin @kbrown65807 Blah blah blah blah blah blah.</t>
  </si>
  <si>
    <t>@IowaGir22472312 @realDonaldTrump No it turned out to be a semi private event.</t>
  </si>
  <si>
    <t>@FoxNews @Cookiemuffen @POTUS We can enhance our coal fired energy with biomass and solar. Check out SunDancer Hybrid Solar/ Biomass Power by Keith Burnett on @Kickstarter https://t.co/6fPci20A1D</t>
  </si>
  <si>
    <t>@IowaGir22472312 @realDonaldTrump I was hoping his St. Louis tax speech would be public.   Maybe next time....</t>
  </si>
  <si>
    <t>@GayEqualGlobal @CNNPolitics Correction for CNN. As AMERICA🇺🇸 watches!!!!!</t>
  </si>
  <si>
    <t>@jw8c 2025.</t>
  </si>
  <si>
    <t>RT @JunkScience: Trump in Pensacola: Slams windmills for not working when the wind doesn’t blow.</t>
  </si>
  <si>
    <t>@JunkScience Want to see some American 🇺🇸 innovation?? Check out SunDancer Hybrid Solar/ Biomass Power by Keith Burnett on @Kickstarter https://t.co/6fPci20A1D  we will make Solar Great For Once....</t>
  </si>
  <si>
    <t>About 10 minutes delayed but @realDonaldTrump just slammed #resist snowflakes.  Hahahahahahahahahahahahaha #ResistanceIsImportant (not) Let's #maga!!! 🇺🇸🇺🇸🇺🇸👏👏👏👏🇺🇸🇺🇸🇺🇸🚫👣🐍</t>
  </si>
  <si>
    <t>@neeratanden Ha.  @realDonaldTrump is living in your head rent free. 24/7!!!! #MAGA!!!🇺🇸🇺🇸🇺🇸😅</t>
  </si>
  <si>
    <t>@dianasoletti Yes. Y'all are about to get schooled again about the majority in Alabama next week. #silentmajority  #MAGA !!!! 🇺🇸🇺🇸</t>
  </si>
  <si>
    <t>@FordhamUnivers *shop.  Coffee shop.  Grr 😳</t>
  </si>
  <si>
    <t>#ResistanceIsImportant if you want to wear a #maga hat in a coffee ship at @FordhamUnivers WTH????   🇺🇸🇺🇸🇺🇸🇺🇸🇺🇸🇺🇸🇺🇸🇺🇸🇺🇸🇺🇸🇺🇸🇺🇸🇺🇸🇺🇸🇺🇸🇺🇸🇺🇸🇺🇸🇺🇸🇺🇸🇺🇸🇺🇸🇺🇸🇺🇸🇺🇸🇺🇸🇺🇸🇺🇸🇺🇸🇺🇸🇺🇸🇺🇸🇺🇸🇺🇸🇺🇸🇺🇸🇺🇸🇺🇸🇺🇸🇺🇸🇺🇸🇺🇸🇺🇸🇺🇸</t>
  </si>
  <si>
    <t>@jerseygirl2you @G1rlyTattooed Make for some good skeet shooting.  PULL!!!</t>
  </si>
  <si>
    <t>@LouDobbs @Lrihendry They are backfiring but the Libs are too stupid to see it.</t>
  </si>
  <si>
    <t>#ResistanceIsImportant for making popcorn on an electric stovetop https://t.co/akqCRicPLe</t>
  </si>
  <si>
    <t>#ResistanceIsImportant because it gives #MAGA something to laugh at 😅😅😅😅🇺🇸🇺🇸🇺🇸🇺🇸</t>
  </si>
  <si>
    <t>@ummmno21 But we get to watch @realDonaldTrump tonight 👏👏👏👏👏👏👏👏👏</t>
  </si>
  <si>
    <t>@EricColumbus @reckonalabama Make this up, uh that's EXACTLY what the LA times did...</t>
  </si>
  <si>
    <t>@GeorgeTakei I guess the yearbook lie has got you down. Now making other stuff up. Sad! 😅😅😅</t>
  </si>
  <si>
    <t>@FoxNews I was wondering why the Dems where going back to the race card today.   Now it makes sense 😅😅😅😅😅😅😅😅😅</t>
  </si>
  <si>
    <t>RT @StefanMolyneux: The left just lies and lies and lies and lies and lies and lies and lies and lies and lies and lies and lies and lies a…</t>
  </si>
  <si>
    <t>@MSNBC Anonymous source to LA Times #Fakenews</t>
  </si>
  <si>
    <t>@corbett3000 Democrats are providing the illusion of going on the moral high ground. We are not falling for it.</t>
  </si>
  <si>
    <t>@LewHassett @MarcACaputo I call BS.  Allegedly said a year ago and it just now comes out?  Dems tricks are getting old.</t>
  </si>
  <si>
    <t>@Marimelmohandes @Highoncosmicglo All he did was invoke America's sovereign right to recognize Jerusalem as the capital of our closest ally in the Middle East. Not sure why the Palestinians are freaking out. Nothing has changed.</t>
  </si>
  <si>
    <t>@FOX2now I have more faith in Rasmussen's polls</t>
  </si>
  <si>
    <t>@GStephanopoulos Hand overplayed as usual.  Nice try. 😅😅😅😅</t>
  </si>
  <si>
    <t>@TimOBrien Today's #nothingburger......</t>
  </si>
  <si>
    <t>RT @CB618444: Dear @lindseyvonn 
U just lost the support of half this country. Do u think we take what u said lightly? We take it personal…</t>
  </si>
  <si>
    <t>BOOM!!!! https://t.co/XZL8hprabw</t>
  </si>
  <si>
    <t>@Mikel_Jollett Guess what, #MAGA is not going to stop!!!  Nice ploy though.... #Trump2020</t>
  </si>
  <si>
    <t>RT @stlcountypd: (Corrected) Arnold police officer O'Connor undergoing life-saving surgery today. Please keep his family in your prayers. h…</t>
  </si>
  <si>
    <t>@TriesteKDunn The mall and YMCA story is fake news.</t>
  </si>
  <si>
    <t>@UMBCDems Keep dreaming....😅</t>
  </si>
  <si>
    <t>@StaticVariable Perfect analogy.  Though I think Rook still survives.</t>
  </si>
  <si>
    <t>@AP4Liberty @jamescl52171342 @alfranken Hah. Dems are going to use it a ammo against Moore.  Ain't gonna happen. #MAGA!!!🇺🇸🇺🇸</t>
  </si>
  <si>
    <t>@AP4Liberty Examples please?</t>
  </si>
  <si>
    <t>RT @wusa9: #BREAKING: FBI confirms there is currently court authorized law enforcement activity in the DC region involving state and federa…</t>
  </si>
  <si>
    <t>RT @fox5dc: #BREAKING: Multi-agency law enforcement activity reported in DC area. Story developing... https://t.co/5V9pHpMG1y https://t.co/…</t>
  </si>
  <si>
    <t>@fox5dc 🙏🙏😀🇺🇸</t>
  </si>
  <si>
    <t>@realDonaldTrump @Trump_For_2020 Thank you everything you are doing for our great nation Mr President!  Ignore the naysayers and keep the Train Rolling!!!!  #MAGA!!!! 🇺🇸🇺🇸🇺🇸</t>
  </si>
  <si>
    <t>@GDouglasJones As he accepts a check from Jeff Flake🙄</t>
  </si>
  <si>
    <t>@AdinaHill @JoeNBC @Morning_Joe 😅😅😅👏👏👏</t>
  </si>
  <si>
    <t>@JoeNBC You're an idiot.  #MAGA🇺🇸🇺🇸🇺🇸</t>
  </si>
  <si>
    <t>@thehill Fake news yawn.</t>
  </si>
  <si>
    <t>@_waleedshahid @samswey @ClintSmithIII That is why the House of Representatives is set up the way it is....  #civics101</t>
  </si>
  <si>
    <t>#Hannity is making a strong case proving the existence of #deepstate tonight.  #redpill #maga🇺🇸🇺🇸🇺🇸</t>
  </si>
  <si>
    <t>@ummmno21 Prayers sent🙏✝️</t>
  </si>
  <si>
    <t>@NPR This thread is giving me hope. Three more years of President Trump should be long enough to drive all the liberals out. Then 4 more years, then 8 of Pence. Win win! #MAGA!!!🇺🇸🇺🇸🇺🇸</t>
  </si>
  <si>
    <t>RT @SheriffClarke: The only OBSTRUCTION OF JUSTICE occurring right now in the Mueller KANGAROO COURT is the attempt to undo last November’s…</t>
  </si>
  <si>
    <t>@RobinVShockley *matter of fact (stupid I phone)</t>
  </si>
  <si>
    <t>@RobinVShockley Nah we are not going anywhere.  As a matter of face, we are just getting started #MAGA 🇺🇸🇺🇸🇺🇸</t>
  </si>
  <si>
    <t>@Trader_Moe @NBCNews Second #Nothingburger of the day.</t>
  </si>
  <si>
    <t>@susanj357 And we can take our money elsewhere. No big deal.</t>
  </si>
  <si>
    <t>@JoeStGeorge All could at their own economic peril.  So most won't.</t>
  </si>
  <si>
    <t>@LGBTEqCaucus Businesses are not public services by definition.</t>
  </si>
  <si>
    <t>If #MasterpieceCakeshop is won by the ACLU, How long until conservative churches are forced to perform gay weddings?</t>
  </si>
  <si>
    <t>@Jlbmagic @ACLU Someone will try it just to make a point. Kind of like this cake thing.</t>
  </si>
  <si>
    <t>@ACLU So what is next?  Forcing preachers to officiate gay weddings against their will?</t>
  </si>
  <si>
    <t>#MasterpieceCakeshop  Congress shall make no law....   Hands off our religious beliefs.  Get your cake made somewhere else!!!!!! #maga #freedomofreligion #1A</t>
  </si>
  <si>
    <t>@clairecmc Another win for #MAGA in the works!!!</t>
  </si>
  <si>
    <t>"Deutsche Bank" liberal #nothingburger of the day.  Yawn.</t>
  </si>
  <si>
    <t>@shireenmc A parable for you.  Pretend I have a bag of of 1000 M&amp;amp;Ms from a factory with a history of bad quality control and am offering them, you know that there are 10 poison ones in that bag. How many would you eat?   How many would you allow your kids to eat?</t>
  </si>
  <si>
    <t>@anaelisafoto You may want to brush up on your civics (separation of power, checks and balances and what not ).</t>
  </si>
  <si>
    <t>@lsarsour Female genitalia mutilation is not normal.  (And it is not a Muslim ban btw) #MAGA</t>
  </si>
  <si>
    <t>@L_Rebell Hmm vote was 7-2.  Garland ( who most likely would have sided for the ban, would not have made a difference )</t>
  </si>
  <si>
    <t>@NancyPelosi Spoken like a true commie</t>
  </si>
  <si>
    <t>@TheMarkPantano Pay no mind to the distant thunder......</t>
  </si>
  <si>
    <t>@ACLU ACLU vs SCOTUS.... I'll put my money on SCOTUS.  🇺🇸🇺🇸🇺🇸🇺🇸</t>
  </si>
  <si>
    <t>Supreme Court allows latest travel ban to go into effect. 7-2 decision. #winning #MAGA #Americafirst 🇺🇸</t>
  </si>
  <si>
    <t>I figured some goofball would try this against #MAGA. 😡 #LiberalismIsAMentalDisorder #TaxBill https://t.co/VfnjdocYCF</t>
  </si>
  <si>
    <t>@ksdknews #shootback</t>
  </si>
  <si>
    <t>@tonycolombo971 @MarcCox971 A house of cards is going to come crashing down and it is not President Trumps. #TheStormIsUponUs #MAGA!!! 🇺🇸🇺🇸</t>
  </si>
  <si>
    <t>@AP4Liberty @clairecmc @realDonaldTrump @GOP She effectively signed her resignation by voting no.  Missouri has had enough of her obstructing #MAGA !! 🇺🇸🇺🇸🇺🇸</t>
  </si>
  <si>
    <t>@clairecmc You are actually willing to reach across the aisle on something?</t>
  </si>
  <si>
    <t>@ksdknews So what?</t>
  </si>
  <si>
    <t>@toddstarnes We get it all back BIGLY today.</t>
  </si>
  <si>
    <t>@971FMTalk @jallman971 Made my morning commute.  👏👏👏</t>
  </si>
  <si>
    <t>@JC20maga Art of war 😀</t>
  </si>
  <si>
    <t>RT @seanhannity: To all my deplorable friends. Tick tock. Tomorrow!!</t>
  </si>
  <si>
    <t>@TheDonaldReacts @RVAwonk Never heard of a war monument being built during said war....🤔</t>
  </si>
  <si>
    <t>@Miss_Bellatrix @GooglePlay Ride of the Valkyries....</t>
  </si>
  <si>
    <t>@Evan_McMullin That must have been the same poll that predicted you would win Utah #fakenews.</t>
  </si>
  <si>
    <t>@dcexaminer So glad Obama is out. Worst president ever!</t>
  </si>
  <si>
    <t>@USUN @DeplorableBIL #americafirst!!!!!! 🇺🇸🇺🇸🇺🇸🇺🇸🇺🇸🇺🇸🇺🇸</t>
  </si>
  <si>
    <t>RT @patsajak: Reminder to all: tax rates are merely legal minimums. You are free to send as much as you’d like.</t>
  </si>
  <si>
    <t>@alanwgriffith @Noahpinion Point 10 nails it. As long as there is no major trigger (impeachment, coups) we are going to continue to fight this new civil war online.</t>
  </si>
  <si>
    <t>@xarmyguyx @Alt_FedEmployee You could always move to Illinois. Perhaps Cario?</t>
  </si>
  <si>
    <t>@RLHeinrichs NO It's true!!!!!!  A Russian showed up at my doorstep and made me vote for President Trump 😅😅😅</t>
  </si>
  <si>
    <t>If the accusations were first brought up 40 years later during an election after her predator had been a judge in her divorce case?  Yeah, I would have some doubts of what her motivations were.</t>
  </si>
  <si>
    <t>@AdamSerwer @amjoyshow Keep up the great work Adam!  Liberal's doubling down on Hillary's alienation of the average America will ensure President Trump's reelection in 2020!! 👏👏. #MAGA!!!</t>
  </si>
  <si>
    <t>#amjoy. Yep we're racists.🙄 Nothing to do at all with the Dems running the WORST CANIDATE EVER!!! Keep playing the race card. 2018 is going to rock. !!! #maga!!</t>
  </si>
  <si>
    <t>#tax reform voted affirms why Moore need to be in senate. 100% of democrats voted to keep more of our wages.  We will not forget this in 2018!  #amjoy</t>
  </si>
  <si>
    <t>@BillKristol @kbrown65807 What acts?</t>
  </si>
  <si>
    <t>@renato_mariotti Looks like the FBI has done a good job of undercutting itself without any help from our president.</t>
  </si>
  <si>
    <t>RT @SykesforSenate: The DC establishment is trying to control Missouri. #AmericaFirst will crush them. #MOSEN #MOGOP  https://t.co/b85KNc5X…</t>
  </si>
  <si>
    <t>RT @paulsperry_: So far Trump is guilty only of one thing: winning an election the East Coast elite never thought he should have won.</t>
  </si>
  <si>
    <t>@RoyBlunt Man the tantrums continue.  Thank you Senator Blunt for passing this bill. I have ran the numbers and this middle class constituent will pay 20% less.  👏👏👏🇺🇸</t>
  </si>
  <si>
    <t>@AP4Liberty https://t.co/EvwH302JTm https://t.co/l8nka3Z40Y</t>
  </si>
  <si>
    <t>@JoyAnnReid @AlanDersh Oops</t>
  </si>
  <si>
    <t>@TeamPelosi I wasn't sleeping.  Watching on CSPAN and I stand to save $900 #maga!!!! 🇺🇸🇺🇸🇺🇸</t>
  </si>
  <si>
    <t>#2018isComing and we will finish what we started in 2016. Dems and RINOs out!!!!  #MAGA in!!!!!! 🇺🇸🇺🇸</t>
  </si>
  <si>
    <t>@VRWCTexan @BoilingCrude It's like nov 8 2016 all over again. 🇺🇸🇺🇸🇺🇸</t>
  </si>
  <si>
    <t>@Alyssa_Milano @msdwallace @SenateGOP Can you hear us now #MAGA!!!!!!🇺🇸🇺🇸🇺🇸🇺🇸🇺🇸🇺🇸🇺🇸🇺🇸🇺🇸🇺🇸🇺🇸🇺🇸🇺🇸🇺🇸🇺🇸🇺🇸🇺🇸🇺🇸🇺🇸🇺🇸🇺🇸🇺🇸🇺🇸🇺🇸🇺🇸🇺🇸🇺🇸🇺🇸🇺🇸🇺🇸🇺🇸🇺🇸🇺🇸🇺🇸🇺🇸🇺🇸🇺🇸🇺🇸🇺🇸🇺🇸🇺🇸🇺🇸🇺🇸🇺🇸🇺🇸🇺🇸🇺🇸🇺🇸🇺🇸🇺🇸🇺🇸🇺🇸🇺🇸🇺🇸🇺🇸🇺🇸🇺🇸</t>
  </si>
  <si>
    <t>@RealPublicEdu @cspan @SenSchumer @SenateGOP Just they did with ACA.  Oh wait......</t>
  </si>
  <si>
    <t>Watch Sanders on cspan acting like he is a working class man of the people.  How cute 😅</t>
  </si>
  <si>
    <t>@TylerPerry0901 @PhoebeBeach @cspan Did not stop them with ACA</t>
  </si>
  <si>
    <t>RT @257_480: Cspan please display vote tally numbers on screen in real time. Thx</t>
  </si>
  <si>
    <t>@inkyfingdesigns @cspan How do you lose if you make &amp;lt;20k with a standard decduction of 24k?    Oh no freebies</t>
  </si>
  <si>
    <t>@repuglicanssuck @cspan @JJohnsonLaw Simple. You are swallowing liberal lies</t>
  </si>
  <si>
    <t>@TheSandbull Oh I am.  Democrats want to keep more of my money.</t>
  </si>
  <si>
    <t>@deplor_trekkie @ColumbiaBugle @cspan How long until he starts crying?</t>
  </si>
  <si>
    <t>After brining the market to a screeching halt and giving liberals false hope.  #fakenews https://t.co/1seAuecxYp</t>
  </si>
  <si>
    <t>@ummmno21 Captain tripps. Nothing to worry about</t>
  </si>
  <si>
    <t>@1Dussy @cspan @siciliantaurus I'm one of them.</t>
  </si>
  <si>
    <t>@Harding_Prime @ToneLocNV @JesseKellyDC @ABC A wide compilation of sources both left and right.  ABC's folly today was letting out too many details too fast.</t>
  </si>
  <si>
    <t>@CSPANBen @bibacus @cspan 😅</t>
  </si>
  <si>
    <t>Narrative is already starting to crumble #MAGA #flynn https://t.co/UVECQI1QKX</t>
  </si>
  <si>
    <t>@bibacus @cspan They don't have CSPAN at the gun range. 😎</t>
  </si>
  <si>
    <t>@Buba1968 @CNN Guess what?  Donald Trump is YOUR president. 🇺🇸🇺🇸🇺🇸🇺🇸🇺🇸🇺🇸🇺🇸🇺🇸🇺🇸</t>
  </si>
  <si>
    <t>@rooseveltgeorge @CNN @FoxNews I bet they get the story correct though...</t>
  </si>
  <si>
    <t>@benshapiro @conservazilla Fake news.  @realDonaldTrump is always right.</t>
  </si>
  <si>
    <t>@Harding_Prime @ToneLocNV @JesseKellyDC Worse, you get it from @abc</t>
  </si>
  <si>
    <t>@drpottel @Brigette912 @oliverdarcy @BrianRoss Tradition and technicality</t>
  </si>
  <si>
    <t>@derektmuller In English, it is all a #Nothingburger</t>
  </si>
  <si>
    <t>@anniefreyshow @CarlSpoerer2018 Carl is just enjoying his nothing burger.  #LiberalismIsAMentalDisorder</t>
  </si>
  <si>
    <t>@free2bhuman @Mandari25733571 @TeaPainUSA We work, live our lives,maintain the status quo and usually are very quiet.  Of course it is the quiet ones... 😅</t>
  </si>
  <si>
    <t>@ColbyTheChemist @dexter111344 @cspan Yep around 2032 or so.</t>
  </si>
  <si>
    <t>Then donate on your own accord.   The estate tax is robbery at its worst. https://t.co/E7H6x0aJ7b</t>
  </si>
  <si>
    <t>@clairecmc Skimmed it for you.  Looks good..... pass it.. #MAGA!!!!🇺🇸🇺🇸🇺🇸</t>
  </si>
  <si>
    <t>@pattyryanlee On opposite sides, but I agree with you on the need for a bit more fire.</t>
  </si>
  <si>
    <t>@cspan @SenatorCardin Let's do this already.  #maga!!!🇺🇸🇺🇸🇺🇸🇺🇸</t>
  </si>
  <si>
    <t>@RANsquawk @ajax_cham the way this is going, I could be up at midnight watching this in the US.</t>
  </si>
  <si>
    <t>@MGS_WILL If this is the procedural vote a no = yes and vice versa</t>
  </si>
  <si>
    <t>RT @ChefDiMoya: McConnell: 'We have the votes' to pass tax reform - A vote is expected later Friday afternoon. https://t.co/ph8H7twc3h</t>
  </si>
  <si>
    <t>#MAGA!!! https://t.co/aT1zDSk1u0</t>
  </si>
  <si>
    <t>@tweets1959 @jerome_corsi @realDonaldTrump @jeffsessions I am in agreement with you.  Flynn does not worry me. We will prevail!  🇺🇸</t>
  </si>
  <si>
    <t>RT @jbro_1776: Also I hate to break the news to those hoping this proves Collusion. President Elect Trump and campaign officials are LEGALL…</t>
  </si>
  <si>
    <t>@jerome_corsi @tweets1959 @realDonaldTrump @jeffsessions Hope my fund manager is on his/her toes. Should be some bargains today that will pop when tax reform is passed. 🤑</t>
  </si>
  <si>
    <t>RT @CodyAjohnson: Michael Flynn could face 5 years in prison for lying to fbi
 Kate Steinles murderer could face 2 years in prison
Let th…</t>
  </si>
  <si>
    <t>@US_Stratcom @usairforce Visited the Air Force museum in Dayton  OH this summer.  It was sobering and humbling to walk among those giants from the Cold War.</t>
  </si>
  <si>
    <t>@AP @TreyYingst Yawn</t>
  </si>
  <si>
    <t>@BelkissObadia @realDonaldTrump Will you quiet down for a few minutes. We are fixin to pass tax reform. Thanks. -The Deplorables 🇺🇸🇺🇸🇺🇸😅😅😅</t>
  </si>
  <si>
    <t>@1Jedi_Rey @CaptainsLog2017 @JynErso_2017 @StormResist @COPicard2017 @TheSWPrincess @gbmnyc @EzraBridger2017 @MrScottLads @KidCasteel @OliviaResists Truth is constant.  What can I say?</t>
  </si>
  <si>
    <t>@ICEgov @Cookiemuffen Start streaming wall cams. We will watch the border for free !!!!🇺🇸🇺🇸🇺🇸</t>
  </si>
  <si>
    <t>Warning don't be drinking coffee as you open this. 😅😅😅👏👏👏 https://t.co/GTVJ36s35F</t>
  </si>
  <si>
    <t>@tribelaw @kbrown65807 Go ahead. Get yourself worked up over nothing....</t>
  </si>
  <si>
    <t>@AlRobins2015 Set up for more liberal tears. 😅😅😅😅</t>
  </si>
  <si>
    <t>@mateagold That's it?!?    Who cares.</t>
  </si>
  <si>
    <t>@piersmorgan Nothingburger yawn...</t>
  </si>
  <si>
    <t>@tracyjust Nothingburger</t>
  </si>
  <si>
    <t>@1Jedi_Rey @CaptainsLog2017 @JynErso_2017 @StormResist @COPicard2017 @TheSWPrincess @gbmnyc @EzraBridger2017 @MrScottLads @KidCasteel @OliviaResists Nothingburger. Just wait and see 😅😅😅😅😅</t>
  </si>
  <si>
    <t>@ABC And since he is an American citizen and not an illegal alien.......</t>
  </si>
  <si>
    <t>@JenniferJJacobs Sounds like another #nothingburger.</t>
  </si>
  <si>
    <t>This would not be an issue if #MikeFlynn was an illegal alien. #KATESTEINLE</t>
  </si>
  <si>
    <t>@jenn_budd Well I did layover there for a couple of hours on the way to Asia last summer.  Why do y'all like seal lion hunting illegals in the first place?</t>
  </si>
  <si>
    <t>@971FMTalk I need to get up to one of your events and hang out with y'all sometime....</t>
  </si>
  <si>
    <t>@SweeneyABC @esglaude @SteveRudinABC7 That's ok. Donald Trump is still our president.  Merry Christmas 🌲🌲🌲✝️</t>
  </si>
  <si>
    <t>@realDonaldTrump #KatesLaw #KatesWall.</t>
  </si>
  <si>
    <t>RT @PatriotMarie: .@POTUS @realDonaldTrump Please Sir I’m begging you #BuildTheWall even if you have to do it without congress 👉🏻You can le…</t>
  </si>
  <si>
    <t>The man who shot #KateSteinle would have been convicted had he hit the sea animal that he was aiming tying to shoot.  #WhiteLivesMatter</t>
  </si>
  <si>
    <t>Let #KateSteinle be our new rally cry. #Trump2020 #BuildTheWall #defundsanctuarycities #repealtheninthcircuit 🇺🇸🇺🇸🇺🇸🇺🇸 #MAGA</t>
  </si>
  <si>
    <t>#KateSteinle can the rest of us vote California out of our nation? 😡😡😡</t>
  </si>
  <si>
    <t>@TopherSpiro Just going for low hanging fruit right now.  Folks smarter than myself can figure out the rest.  Perhaps Obamacare....</t>
  </si>
  <si>
    <t>@DavidGr78574965 Min wage is 7.70. So $16000 a year. 12000 standard deduction. 4000 taxable income.   $400 tax liability. 1600 tax credit a child so  Mom gets $2800 refund come tax time.</t>
  </si>
  <si>
    <t>@TopherSpiro So we cut spending... problem solved #MAGA #defundpp #defundNPR #taxdebate</t>
  </si>
  <si>
    <t>RT @IsraelUSAforevr: 🔎🔎 The worst president in history ❓❔
👉⤵Please vote &amp;amp; RT ⤵👈</t>
  </si>
  <si>
    <t>Time to cut taxes. Let's do this Senators!!!!  @RoyBlunt.  And  @clairecmc (doesn't hurt to ask right 😀) #ThursdayThoughts #maga #TeaParty 🚫👣🐍🇺🇸🇺🇸🇺🇸</t>
  </si>
  <si>
    <t>@riekiedplessis @CassandraRules God Emperor if you please🐸😃</t>
  </si>
  <si>
    <t>@Calilint You are insinuating that this is a bad thing...🇺🇸🇺🇸🇺🇸 #AmericaFirst</t>
  </si>
  <si>
    <t>RT @hollywoodjav: Thank You John McCain for stepping up for the middle class. Let’s get this #GOPTaxBill passed.</t>
  </si>
  <si>
    <t>@kclyle1 @SenJohnMcCain Already ran the numbers.  Mine look fine 😎</t>
  </si>
  <si>
    <t>@SenJohnMcCain #MAGA!!!!🇺🇸🇺🇸🇺🇸🇺🇸🇺🇸👏👏👏👏🇺🇸🇺🇸🇺🇸🇺🇸👏👏👏👏🇺🇸🇺🇸🇺🇸🇺🇸👏👏👏👏🇺🇸🇺🇸🇺🇸🇺🇸👏👏👏👏🇺🇸🇺🇸🇺🇸🇺🇸👏👏👏👏🇺🇸🇺🇸🇺🇸🇺🇸👏👏👏👏</t>
  </si>
  <si>
    <t>@ronrobinson1944 How is it obvious?</t>
  </si>
  <si>
    <t>The left's reaction to John McCain supporting the #taxbill is bring me back memories of election night last year. Melting snowflakes are so much fun to witness. Tantrum on...😅😅😅😅😅😅</t>
  </si>
  <si>
    <t>Thank you John McCain for supporting the tax bill.  Now let's #MAGA!!!! 🇺🇸🇺🇸🇺🇸🚫👣🐍 #TaxBill #TaxReformNow !!!</t>
  </si>
  <si>
    <t>@cg84110 @tracybeanz Sydney Australia ?</t>
  </si>
  <si>
    <t>@AP4Liberty @jallman971 Never got my invitation ☹️</t>
  </si>
  <si>
    <t>@CROWENATION2016 @IngrahamAngle Quit spoiling. I am about a half hour behind on DVR 😀</t>
  </si>
  <si>
    <t>@CNNPolitics *conspiracies</t>
  </si>
  <si>
    <t>@CNNPolitics Careful CNN... seems that conspiracys are turning out to be truths nowadays. #maga</t>
  </si>
  <si>
    <t>RT @JamesOKeefeIII: Today we show you our second undercover video within  @washingtonpost…this time exposing Nat'l Security Director Adam E…</t>
  </si>
  <si>
    <t>Hey @RoyBlunt @RepJasonSmith ,  a little help here?  Thx🇺🇸 #DefundPP https://t.co/YlZYloVKze</t>
  </si>
  <si>
    <t>@realDonaldTrump Sure beats being lectured by Obama on how to be a better global citizen.  #AmericaFirst 🇺🇸</t>
  </si>
  <si>
    <t>@grumblethorpe Not sure but Claire is not a popular Senator in our state.</t>
  </si>
  <si>
    <t>No pandereing at all. Guess he knows that there is not a chance that Claire would cross the party line.  @jallman971 @971FMTalk https://t.co/M6nr9ghr8Y</t>
  </si>
  <si>
    <t>Dives me nuts that I am only 10 miles away from Trump in Missouri. Man I wish it was a public event. Maybe next time #MAGA!! @realDonaldTrump</t>
  </si>
  <si>
    <t>RT @FOX2now: Air Force One lands at St. Louis Lambert-International Airport @flystl https://t.co/6aNR9MjcKK</t>
  </si>
  <si>
    <t>@realDonaldTrump @LindaSuhler @JBA_NAFW Sending an attaboy from St. Louis.  Enjoy your visit and keep up the great work!!!!</t>
  </si>
  <si>
    <t>@ksdknews @realDonaldTrump I would be there to support our president but I have to be at work.  #MAGA!!!!🇺🇸🇺🇸🇺🇸🇺🇸🇺🇸🇺🇸🇺🇸🇺🇸🇺🇸🇺🇸🇺🇸🇺🇸🇺🇸🇺🇸🇺🇸🇺🇸🇺🇸🇺🇸🇺🇸🇺🇸🇺🇸🇺🇸🇺🇸🇺🇸🇺🇸🇺🇸🇺🇸🇺🇸🇺🇸🇺🇸🇺🇸🇺🇸🇺🇸🇺🇸🇺🇸🇺🇸🇺🇸🇺🇸🇺🇸🇺🇸🇺🇸🇺🇸🇺🇸🇺🇸🇺🇸🇺🇸🇺🇸🇺🇸🇺🇸🇺🇸</t>
  </si>
  <si>
    <t>@anniefreyshow @MarcCox971 And all of that is just on the surface.   #thestorm 😎</t>
  </si>
  <si>
    <t>#WhenLifeGivesUsLemons we #MAGA!!!!  Or at least make lemonade great again.....🇺🇸🇺🇸🇺🇸</t>
  </si>
  <si>
    <t>RT @realDonaldTrump: Just spoke to President XI JINPING of China concerning the provocative actions of North Korea. Additional major sancti…</t>
  </si>
  <si>
    <t>@SykesforSenate @MooreSenate @washingtonpost @JeffBezos @GloriaAllred @ALGOP I like the way you think sir.</t>
  </si>
  <si>
    <t>@realDonaldTrump @TuckerCarlson @seanhannity #MAGA https://t.co/h34LVFU6L5</t>
  </si>
  <si>
    <t>@mcbridetd @SpeakerTimJones @AllmanReport Another incentive for me to break the $100,000 salary range.   Getting closer every day 😀</t>
  </si>
  <si>
    <t>@SebGorka @seanhannity @FoxNews @FoxNewsInsider Heard you were going to be speaking in St. Louis sometime soon. Any truth to that ?</t>
  </si>
  <si>
    <t>@SaraCarterDC @pink_lady56 @seanhannity Keep on swinging Sara!!  You are getting closer every day !!!👏👏👏👏🇺🇸🇺🇸</t>
  </si>
  <si>
    <t>@JacobAWohl @hale4jesus @realDonaldTrump Hasn't quite happened yet.</t>
  </si>
  <si>
    <t>@2christian Protest or Pow Wow?  😅😅</t>
  </si>
  <si>
    <t>Yes!  What she said 👇🙏🙏🙏 https://t.co/Uflsgt4qtO</t>
  </si>
  <si>
    <t>@dennislennox Good catch!!!!👏👏👏👏</t>
  </si>
  <si>
    <t>RT @Cernovich: I just published “MSNBC Contributor Sam Seder Endorses Polanki’s Sex Crimes in Now Deleted Tweet” https://t.co/hosyJNZxzO</t>
  </si>
  <si>
    <t>Not worried one bit about North Korea. @realDonaldTrump has got this!!! #maga 🇺🇸🇺🇸🇺🇸</t>
  </si>
  <si>
    <t>@Breaking911 Poor whales....☹️</t>
  </si>
  <si>
    <t>Princess Moonbat 🦇🦇🦇 #ElizabethWarrenIndianName</t>
  </si>
  <si>
    <t>@Kevaroo You ring? 😀</t>
  </si>
  <si>
    <t>@jallman971 @TrumpChess @jillwilhelm @AllmanReport @POTUS @ScottPresler If you did you would invite all of your listeners right ( well maybe not Damon ) 😀</t>
  </si>
  <si>
    <t>@Breaking911 #DrainTheSwamp !!!</t>
  </si>
  <si>
    <t>Robert Mueller Is a Hothead Who Can't Own Up to His Mistakes, Former Aides Say https://t.co/WQfIjFfbqb  #FollowTheWhiteRabbit and #thestorm theories have been vindicated!!🐇⛈🇺🇸🇺🇸🇺🇸</t>
  </si>
  <si>
    <t>@RLHeinrichs @US_Stratcom @realDonaldTrump Yes well written, kind of reminds me of the climax of Tom Clancy's Sum of all Fears, the book not the movie.</t>
  </si>
  <si>
    <t>@ACLU @kbrown65807 Paper tiger.  Gorsuch TRUMPS legislation from the bench. #MAGA!!!🇺🇸🇺🇸🇺🇸</t>
  </si>
  <si>
    <t>@Rose4Austin2018 @farmerfar55 Swamp critters....</t>
  </si>
  <si>
    <t>RT @Rose4Austin2018: Claire McCaskill took action to hide travel on private plane from public https://t.co/yTR8TJMpQr #FoxNews
#CrookedClai…</t>
  </si>
  <si>
    <t>@JoyAnnReid @JYSexton We have God and Guns #MAGA!!!!!!! 🇺🇸🇺🇸🇺🇸🇺🇸🇺🇸🇺🇸🇺🇸🇺🇸🇺🇸🇺🇸🇺🇸🇺🇸🇺🇸🇺🇸🇺🇸🇺🇸🇺🇸🇺🇸🇺🇸🇺🇸🇺🇸🇺🇸🇺🇸🇺🇸🇺🇸🇺🇸🇺🇸🇺🇸🇺🇸🇺🇸🇺🇸🇺🇸🇺🇸🇺🇸🇺🇸🇺🇸🇺🇸🇺🇸🇺🇸🇺🇸🇺🇸🇺🇸🇺🇸🇺🇸🇺🇸🇺🇸🇺🇸🇺🇸🇺🇸🇺🇸🇺🇸🇺🇸🇺🇸🇺🇸🇺🇸🇺🇸🇺🇸🇺🇸🇺🇸🇺🇸🇺🇸</t>
  </si>
  <si>
    <t>@971FMTalk @jallman971 @gatewaypundit @RobRains @MariaBartiromo @kbailey971 @denysschaefer @Pippy971 President Trump is visiting St. Louis ?!?!?  Is it a public event?</t>
  </si>
  <si>
    <t>@tveitdal I wasn't too excited about solar power but I have to admit that there is some exciting developments being made. Check this out https://t.co/K3Ue6oDcuC</t>
  </si>
  <si>
    <t>@ksdknews I thought that removing the confederate monument was going to stop this. Go figure...</t>
  </si>
  <si>
    <t>Time to boost the economy!!!#BlackThanksgiving #maga</t>
  </si>
  <si>
    <t>Not sure why, but watching the #NationalDogShow has become a tradition for me on Thanksgiving.</t>
  </si>
  <si>
    <t>@CassandraRules Easy choice in my opinion. Moore has not been proven guilty of anything and we need a Senate that will work with President Trump.</t>
  </si>
  <si>
    <t>@RealDixieLarson @CassandraRules The mall story has been debunked</t>
  </si>
  <si>
    <t>@971FMTalk @jallman971 @PamelaGeller @Doug_Giles This child of the 80s Friday night revolved around the Dukes of Hazzard. Every Friday at 7 on channel 4.</t>
  </si>
  <si>
    <t>@ummmno21 Aren't we all?</t>
  </si>
  <si>
    <t>Who's chasing who?  #TheStorm #FollowTheWhiteRabbit https://t.co/J7TtdRbmf1</t>
  </si>
  <si>
    <t>@JasonLeMiere I'd be careful chasing rabbits. The warren is deeper than you might suspect 😎⛈🌪</t>
  </si>
  <si>
    <t>@BenjySarlin @AdamSerwer To sum it up. "Blah blah racism, blah blah misogyny, blah blah blah voter suppression, blah blah Russia, blah blah blah.     Whatever. #trump2020 #Maga🇺🇸🇺🇸🇺🇸🇺🇸</t>
  </si>
  <si>
    <t>Birds of a feather.... #draintheswamp #maga #thestorm #TheStormIsUponUs https://t.co/0IFrI3XFQE</t>
  </si>
  <si>
    <t>Wow @realDonaldTrumphas declared war on opium, Literally!!  #MAGA #FollowTheWhiteRabbit #TheStormIsHere</t>
  </si>
  <si>
    <t>#SanctuaryCities no need to get mad.  #SCOTUS will fix this issue. #MAGA 🇺🇸🇺🇸🇺🇸</t>
  </si>
  <si>
    <t>@Newsweek #FollowTheWhiteRabbit</t>
  </si>
  <si>
    <t>Dems and Libs won't be thankful to Mueller for long.  🌪🌪🌪 #thestorm  #PressBriefing</t>
  </si>
  <si>
    <t>🌪🌪🌩⛈. #TheStorm #TheStormIsUponUs https://t.co/GKFXRsGlaA</t>
  </si>
  <si>
    <t>RT @RyanAFournier: Not one single Democrat voted to lower your taxes... NOT ONE. Let that sink in for a minute.</t>
  </si>
  <si>
    <t>RT @SpeakerTimJones: Such a dramatic turnaround from the failed economic policies of the previous administration. US now having historic gr…</t>
  </si>
  <si>
    <t>@Gbrielbs @RealDonad_Trump Here I am. Happy birthday. 😀😎🌪🌪🌪</t>
  </si>
  <si>
    <t>@piersmorgan And the problem with this is what????</t>
  </si>
  <si>
    <t>@CassandraRules No problem at all.  Several in my church carry.</t>
  </si>
  <si>
    <t>@TrueFactsStated @kbrown65807 Family is more important than politics</t>
  </si>
  <si>
    <t>@NH92276 @seanhannity @RedNationRising @FoxNews Likely, but maybe we hit paydirt. Time will tell.  #MAGA!!🇺🇸🇺🇸🇺🇸</t>
  </si>
  <si>
    <t>MAGA FULL SPEED AHEAD!!!🇺🇸🇺🇸 #2017In4Words</t>
  </si>
  <si>
    <t>RT @realamericadrew: Out of the last four Presidents who has done the best job as @POTUS.  Vote and Retweet</t>
  </si>
  <si>
    <t>@technowizardry @AP4Liberty @AGJoshHawley @AP4Liberty but winner gets my vote regardless, Claire has got to go and we need to make sure to unite behind whomever is nominated.</t>
  </si>
  <si>
    <t>@CJL2012 @AP4Liberty Not directly but through 401Ks...</t>
  </si>
  <si>
    <t>@CassandraRules @realDonaldTrump #trusttrump always  🇺🇸🇺🇸🇺🇸</t>
  </si>
  <si>
    <t>Praying for #williamcampbell #MAGA! https://t.co/ymec9v3D3a</t>
  </si>
  <si>
    <t>Thank you to all deployed service members 🇺🇸🇺🇸🇺🇸🇺🇸🇺🇸🇺🇸🇺🇸🇺🇸🇺🇸 #REDFriday</t>
  </si>
  <si>
    <t>RT @bgood12345: 🚨Secret FBI Informant Breaks Silence on #UraniumOne Says Proof of Wrongdoing Exists⏰WTH Hillary isn't indicted Yet⁉️ https:…</t>
  </si>
  <si>
    <t>RT @redstatetalk: Pray for #WilliamCampbell who is battling cancer, and who is the #FBI consultant who became a #Whistleblower in the #Uran…</t>
  </si>
  <si>
    <t>Ladies and Gentlemen (and Deplorables). We have a storm warning for Monday.  #thestorm #FollowTheWhiteRabbit #TheStormIsUponUs 🌧🌩⛈🌪🌪🌪🇺🇸🇺🇸🇺🇸 https://t.co/dRJUVHVRnV</t>
  </si>
  <si>
    <t>#YouWillNeverSeeMe as I have an uncanny ability to blend in with the crowd. 😎</t>
  </si>
  <si>
    <t>@jallman971 @971FMTalk A minority student I assume?</t>
  </si>
  <si>
    <t>Wow @TomiLahren !  You are on it tonight!!  #Hannity</t>
  </si>
  <si>
    <t>@SNFonNBC NOBODY CARES!!!! 🇺🇸🇺🇸🇺🇸🇺🇸🇺🇸🇺🇸🇺🇸🇺🇸🇺🇸🇺🇸🇺🇸🇺🇸🇺🇸🇺🇸🇺🇸🇺🇸🇺🇸🇺🇸🇺🇸🇺🇸🇺🇸🇺🇸🇺🇸🇺🇸🇺🇸🇺🇸🇺🇸🇺🇸🇺🇸🇺🇸🇺🇸🇺🇸🇺🇸🇺🇸🇺🇸🇺🇸🇺🇸🇺🇸🇺🇸🇺🇸🇺🇸🇺🇸🇺🇸🇺🇸🇺🇸🇺🇸🇺🇸🇺🇸🇺🇸🇺🇸🇺🇸🇺🇸🇺🇸🇺🇸🇺🇸🇺🇸🇺🇸🇺🇸🇺🇸🇺🇸🇺🇸🇺🇸🇺🇸🇺🇸🇺🇸</t>
  </si>
  <si>
    <t>The look that #tucker gives when a liberal suggests banning muzzleloaders. 😅😅😅😅😅😅😅#LiberalismIsAMentalDisorder</t>
  </si>
  <si>
    <t>@SLMPD @LydaKrewson The mayor did?   With a straight face????  Huh...</t>
  </si>
  <si>
    <t>@PERTZFOX @jrbixby Maybe if the protestors would stay off the streets....</t>
  </si>
  <si>
    <t>@stholeary I ran my numbers and my went down by about a K (assuming the family tax credit holds)</t>
  </si>
  <si>
    <t>@rachelz971 I thought it was a very nice tweet.</t>
  </si>
  <si>
    <t>@PPBlackComm @Mathiasian Wow.  #TheBigLie</t>
  </si>
  <si>
    <t>@SenSanders Well that's one argument, but on the other hand we do need oil to power our automobiles so...</t>
  </si>
  <si>
    <t>@stholeary We live in two realities because my calculations say otherwise.  But you are from D.C., I am from the Midwest so who knows?</t>
  </si>
  <si>
    <t>@tonycolombo971 but the story is out after 40 years?</t>
  </si>
  <si>
    <t>@On_Point_Prg @Acosta Since Alabama is not a constitutional republic, popular vote will determine the winner. (Probably Moore BTW).</t>
  </si>
  <si>
    <t>RT @painefultruths: There's never been a clearer case of judicial revenge than with Roy Moore's accuser. The judge ruled against her in a d…</t>
  </si>
  <si>
    <t>@RepJasonSmith It is a good start.  Let's hope the Senate will actually do their job this time. #maga🇺🇸</t>
  </si>
  <si>
    <t>Remember in November 2018 that every democrat in the House voted against lowering taxes. "Tax Cuts and Jobs Act"</t>
  </si>
  <si>
    <t>@PaulAMarketos @CassandraRules Leaving TPP, Nafta, Paris Accord.</t>
  </si>
  <si>
    <t>RT @trapdrumr: Democrats circle the wagons while republicans circle the firing squad. Sheesh.</t>
  </si>
  <si>
    <t>#FollowtheWhiteRabbit "Thunder and lightning require time. The light of stars require time". Nietzsche   #TRUMPTRAIN full speed ahead #MAGA!!!🇺🇸🇺🇸🇺🇸🇺🇸🇺🇸🇺🇸</t>
  </si>
  <si>
    <t>@nursejme 8 years. #maga!!🇺🇸</t>
  </si>
  <si>
    <t>@messiahprophet @AprilLaJune Maybe so, but hoping for #thestorm 🙏🙏🙏🤞🤞🤞🌪🌪🌪</t>
  </si>
  <si>
    <t>@Breaking911 #Stormiscoming</t>
  </si>
  <si>
    <t>RT @RepHagan: I will fight to #DrainTheSwamp, secure our borders, protect good paying jobs, and stop disastrous trade deals!
Join my campa…</t>
  </si>
  <si>
    <t>@thehill #LiberalismIsAMentalDisorder</t>
  </si>
  <si>
    <t>@47abc #LiberalismIsAMentalDisorder</t>
  </si>
  <si>
    <t>🐇⛈🌪🌪🌪 #MAGA!!🇺🇸🇺🇸 covfefe https://t.co/Js1R8sIIVl</t>
  </si>
  <si>
    <t>My use of a turn signal does not mean that I am asking for your permission to merge.  #ProperDrivingEtiquette</t>
  </si>
  <si>
    <t>@MooreSenate RNC is way out of line.</t>
  </si>
  <si>
    <t>@SNFonNBC #BoycottNFLSponsors</t>
  </si>
  <si>
    <t>@971FMTalk @jallman971 I know right? Like confirmation hearing 2.0.</t>
  </si>
  <si>
    <t>@971FMTalk @jallman971 @genevievewood @KennedyNation Hoping for a better commute today. 🚗🌧🌧🌧</t>
  </si>
  <si>
    <t>@Evan_McMullin So we can agree that @realDonaldTrump beat you fair and square. #maga!!!🇺🇸🇺🇸🇺🇸</t>
  </si>
  <si>
    <t>@dekdarion Lord's Prayer. Interesting.</t>
  </si>
  <si>
    <t>#FollowTheWhiteRabbit what a night!  #ItsHappening</t>
  </si>
  <si>
    <t>RT @MathisenScoot: Will you vote for @realDonaldTrump in 2020?
#MAGA #BoycottKeurig #SundayMorning 
(Retweet and Vote Please, #HackLearning)</t>
  </si>
  <si>
    <t>@MathisenScoot @realDonaldTrump Yes!  #TheStorm #followthewhiterabbit #maga!🇺🇸🇺🇸🇺🇸🇺🇸🇺🇸🇺🇸🇺🇸🇺🇸</t>
  </si>
  <si>
    <t>@kylegriffin1 On what grounds?  (We don't like him does not suffice)</t>
  </si>
  <si>
    <t>@ArmyChiefStaff @ReaganBattalion @SenJohnMcCain I appreciate his service, not too thrilled about his sabotage of MAGA</t>
  </si>
  <si>
    <t>#SessionsHearing  Is that all you got libs?  It is time for @realDonaldTrump to unleash #TheStorm!!! #TheStormIsComing #FollowTheWhiteRabbit #MAGA 🇺🇸</t>
  </si>
  <si>
    <t>@tonycolombo971 @MarcCox971 Stay in the race!</t>
  </si>
  <si>
    <t>Get used to it. Y'all got #thestorm approaching. ⛈⛈⛈🐇 https://t.co/sRfsPSEqdV</t>
  </si>
  <si>
    <t>RT @savvydrivel: #SessionsHearing Correction:These hearings ARE a mockery. All roads lead to #UraniumOne tick-tock tick-tock @FoxNews https…</t>
  </si>
  <si>
    <t>#SessionsHearing Shouldn't congress be fixing my healthcare and lowering taxes right now ? Yawn</t>
  </si>
  <si>
    <t>@FoxTrafficDiva @FOX2now She ain't lying.   At a standstill south of M</t>
  </si>
  <si>
    <t>And another incident before Barnhart. Ugh</t>
  </si>
  <si>
    <t>@971FMTalk @jallman971 Wreck at rte pevely</t>
  </si>
  <si>
    <t>@971FMTalk @jallman971   Traffic backed up on 55 northbound out ingods country</t>
  </si>
  <si>
    <t>@RAWPWR99FATBOY @jallman971 @SebGorka 👏👏👏👏👏👏👏👏👏 YES!!!!</t>
  </si>
  <si>
    <t>@ericharding @realDonaldTrump @2christian Flying east sucks. Jet lag and whatnot</t>
  </si>
  <si>
    <t>@Breaking911 🐮💩</t>
  </si>
  <si>
    <t>@ninekiller @jallman971 Replay tomorrow during 6am please?</t>
  </si>
  <si>
    <t>@MrsBrow60210191 @DeplorableSunny @Keurig But no more paying for environment harming k-cups</t>
  </si>
  <si>
    <t>#IStandWithHannity 🇺🇸🇺🇸🇺🇸</t>
  </si>
  <si>
    <t>"We're Sick of Racism" I agree, the black community should stop being so racist and for God's sake, stop the hoaxes like the one At the Air Force Academy. #itsoktobewhite</t>
  </si>
  <si>
    <t>@ScottPresler Betcha that blue won.</t>
  </si>
  <si>
    <t>@rachelz971 A little over the top, but sure beats giving NK yet another handout.</t>
  </si>
  <si>
    <t>@stephentsimpson Interesting I watched that today.    Not sure how to take it.   I consider my self far to the right, but would never even consider marching under the NAZI flag or associating with anyone who did.</t>
  </si>
  <si>
    <t>@JebBush Gee yippie.</t>
  </si>
  <si>
    <t>RT @SpeakerTimJones: When leftwing lunatics &amp;amp; the EneMedia come 4 you...remember your Winston: “Never give in--never, never, never, never..…</t>
  </si>
  <si>
    <t>RT @SparklingPeep: @RealJamesWoods #FollowTheWhiteRabbit</t>
  </si>
  <si>
    <t>#ImSoOldSchoolThat I remember the days of FIDOnet and WWIV</t>
  </si>
  <si>
    <t>RT @charliekirk11: Why is everyone so worried about Trump meeting with Putin?
It's not like he sold our uranium to Russia in exchange for…</t>
  </si>
  <si>
    <t>Hey @jallman971 @SpeakerTimJones I remember when the deep state was just a conspiracy.  I stumbled across an intriguing tag figured I would share. Could be nothing, but then again. #FollowtheWhiteRabbit https://t.co/9djU3IEIdP</t>
  </si>
  <si>
    <t>Ok. I am hooked. Gotta know where this twisted warren ends.  #FollowTheWhiteRabbit #thestorm #MAGA 🇺🇸🇺🇸🇺🇸</t>
  </si>
  <si>
    <t>"George Takei" welcome to #thestorm 🌩🌩🌩 https://t.co/js57o4lnNS</t>
  </si>
  <si>
    <t>@KamalaHarris Nervous about something? #TickTock #followthewhiterabbit</t>
  </si>
  <si>
    <t>RT @johncardillo: Allegations against Roy Moore come after four decades, as Dem scandals explode, and Menendez’s case is given to jury, a m…</t>
  </si>
  <si>
    <t>@SG_SEIA @SEIA We can do better with capacity and I have a feeling we will.</t>
  </si>
  <si>
    <t>@SEIA What is #Sundancer? Make solar great again!!</t>
  </si>
  <si>
    <t>"The Anti-Trump Wave". Yeah, keeep dreaming libs... https://t.co/75ViCrlXgZ</t>
  </si>
  <si>
    <t>@NVilagi @ReaganBattalion The blue wall of Pennsylvania and Ohio would not have accepted another Bush.</t>
  </si>
  <si>
    <t>@NVilagi @ReaganBattalion Yeah, that mindset worked well for Gillespie yesterday. No establishment candidate had a snowball's chance in hell of defeating Hillary IMHO.</t>
  </si>
  <si>
    <t>@ReaganBattalion ✅Gorsuch Trumps them all.  Plus no Hillary.</t>
  </si>
  <si>
    <t>@NFL #BoycottNFL #BoycottNFLSponsors</t>
  </si>
  <si>
    <t>@EricTrump @needajobbad @parscale @realDonaldTrump Once we had Florida I knew we had it all!</t>
  </si>
  <si>
    <t>@Imperator_Rex3 Y'all ring ?</t>
  </si>
  <si>
    <t>#oneyearundertrump really 9 months but it's been awesome!!#maga!!🇺🇸🇺🇸</t>
  </si>
  <si>
    <t>@TomSteyer One year later and the tantrum continues #MAGA🇺🇸🇺🇸🇺🇸</t>
  </si>
  <si>
    <t>#ThankYouHillary.                                            #LiberalismIsAMentalDisorder               #MAGA.                                                      🚂🚃🚃🚃🚃🚃🚃🚃🚃🚃🚃🚃🇺🇸</t>
  </si>
  <si>
    <t>@KailiJoy @kbrown65807 Subtract the illegal vote and...</t>
  </si>
  <si>
    <t>#ThankYouHillary for giving us a group identity and unifying our vote. Sincerely, - The #Deplorables. #maga #TrumpTrain2020 #trump2020 🇺🇸🇺🇸🇺🇸</t>
  </si>
  <si>
    <t>#ThankYouHillary for showing America just how corrupt the establishment is and paving the way for #MAGA.  We dodged a bullet. 🇺🇸🇺🇸🇺🇸</t>
  </si>
  <si>
    <t>@DRUDGE_REPORT Wonder if these scientists have ever heard of Bats? 🦇🦇🦇</t>
  </si>
  <si>
    <t>RT @SebGorka: Happy #MAGA 1st Birthday Y'all! https://t.co/qnlyMGMHzj</t>
  </si>
  <si>
    <t>@971FMTalk @jallman971 Whomever ends up running against Clare in 18 had better be noting this phenomenon. @AP4Liberty and @HawleyMO talking to y'all. #MAGA 🇺🇸🇺🇸🇺🇸</t>
  </si>
  <si>
    <t>Kudos from the sticks to the city of St. Louis passing #PropP.  Your first responders deserve the pay upgrade. 👏👏👏🚓🚒🚓🚒🇺🇸🇺🇸</t>
  </si>
  <si>
    <t>@SenKamalaHarris Ever been to China?  The air leaves a film in your mouth.  Our air is fine.</t>
  </si>
  <si>
    <t>@DonaldsNeckVag @FoxNews Congrats on your party's big night. It was a hard fought campaign and the people have spoken. Best regards , see y'all next year.  - The Deplorables. (Notice there is no crying, rioting, screaming at sky, recounts or burning stuff etc) 🇺🇸🇺🇸🇺🇸 #MAGA</t>
  </si>
  <si>
    <t>@ScottPresler Too many swamp critters that close to D.C.</t>
  </si>
  <si>
    <t>@DenverChannel Wow didn't see that coming 🙄</t>
  </si>
  <si>
    <t>Open request to @seanhannity. Please do not waste one second on Virginia.  Keep the heat on Clintons!!! #maga!!!</t>
  </si>
  <si>
    <t>@realDonaldTrump  https://t.co/JSvSedU4BI</t>
  </si>
  <si>
    <t>Rise #MAGA rise!!!!!! https://t.co/j2472W37K7</t>
  </si>
  <si>
    <t>@toddstarnes The RINO of all Rinos!!! Can't stand him.</t>
  </si>
  <si>
    <t>RT @JohnTrumpFanKJV: Retweet if you think 
Barack Hussein Obama was the worst President in the history of America, and Crooked Hillary woul…</t>
  </si>
  <si>
    <t>@jallman971 @971FMTalk Quoting that alt-right Taylor Swift "we just gotta shake it off".  😀</t>
  </si>
  <si>
    <t>Meh #Virginia. Enjoy your victory Dems. #Maga coming at you like a hurricane in 2018! The #trumptrain will not be stopped!! 🇺🇸🇺🇸🇺🇸🇺🇸</t>
  </si>
  <si>
    <t>Everyone hates the libertarians right now #VirginaElection https://t.co/egE4zNLCk8</t>
  </si>
  <si>
    <t>Well let's see if #Gillespie can keep the #trumptrain rolling! #MAGA 🚂🚃🚃🚃🇺🇸🇺🇸🇺🇸🇺🇸</t>
  </si>
  <si>
    <t>@babygirlme101 Nah, we're good #Maga!!!</t>
  </si>
  <si>
    <t>I live in one of the Trump counties are we are loving it!! #MAGA!!!   🇺🇸</t>
  </si>
  <si>
    <t>RT @Miller_Hyatt: Poll: Did the Trump campaign collude with Russia during the 2016 election? #TrumpRussia #CarterPage #Manafort</t>
  </si>
  <si>
    <t>@RestallRachael @alaskantexanQCT @PeterGriff007 @realDonaldTrump Actually it is bad business form for an American to bow because we don't  know how to bow.  A handshake saves face for both parties.</t>
  </si>
  <si>
    <t>RT @JediTherrien: @GeorgeTakei Shut up and entertain us George. Nobody cares where you stand politically.</t>
  </si>
  <si>
    <t>@WeemsGracie Common factor is evil.</t>
  </si>
  <si>
    <t>@ChelseaClinton #shootback</t>
  </si>
  <si>
    <t>@phillipsan @RoyBlunt Owning a gun does not mean you worship or serve it.   Jesus did allow Peter to own a sword.</t>
  </si>
  <si>
    <t>@971FMTalk @jallman971 I proudly display a Gadsden flag on my bumper and I promise that I am not trying to run kids over.</t>
  </si>
  <si>
    <t>@971FMTalk @jallman971 Flew on a 767 Dreamliner to Asia l last summer.  Best plane ever.  Airbus has a double deck plane the A380.</t>
  </si>
  <si>
    <t>Only  #GunControl that would work would be to keep liberals and Muslims from owning guns.</t>
  </si>
  <si>
    <t>@phillipsan @RoyBlunt These days a vigilant pastor should have a firearm in his pulpit to guard his flock.</t>
  </si>
  <si>
    <t>RT @PolitiKellyRite: @DrEstella @chelseahandler #Antifa knew/coordinated... unless this was him https://t.co/eBtRtFynd5</t>
  </si>
  <si>
    <t>@Breaking911 Thugs being thugs.</t>
  </si>
  <si>
    <t>RT @realDonaldTrump: May God be w/ the people of Sutherland Springs, Texas. The FBI &amp;amp; law enforcement are on the scene. I am monitoring the…</t>
  </si>
  <si>
    <t>@shannonrwatts #shootback</t>
  </si>
  <si>
    <t>@Cernovich Chances are it is just someone who snapped.</t>
  </si>
  <si>
    <t>Somebody just shot up a church in sutherland springs Texas. 😟.</t>
  </si>
  <si>
    <t>@ksdknews Not me.  I support him and his tweets.</t>
  </si>
  <si>
    <t>#ItsOkayToBeWhite is a reasonable statement in my humble opinion.  I will not apologize for my culture and heritage.</t>
  </si>
  <si>
    <t>@AP4Liberty Together we #MAGA! 🇺🇸🇺🇸🇺🇸</t>
  </si>
  <si>
    <t>@DineshDSouza Patriots don't forget to bring duct tape https://t.co/MSPtUJxxQr</t>
  </si>
  <si>
    <t>#Nov4ItBegins and ends. #MAGA!!!🇺🇸🇺🇸🇺🇸🇺🇸🇺🇸 🚫👣🐍 https://t.co/yMkSuigyRR</t>
  </si>
  <si>
    <t>RT @realDonaldTrump: The decision on Sergeant Bergdahl is a complete and total disgrace to our Country and to our Military.</t>
  </si>
  <si>
    <t>@AntifaCambridge IT 🎈🎈🎈 we all will float 🤡</t>
  </si>
  <si>
    <t>Funny, OBama thought the IRS was his.... https://t.co/0ax0WM86W2</t>
  </si>
  <si>
    <t>@ABC Safe travels @potus! We'll leave the lights on. #maga!!!🇺🇸🇺🇸🇺🇸</t>
  </si>
  <si>
    <t>#MAGA! 🇺🇸🇺🇸🇺🇸🇺🇸Way to go @realDonaldTrump !!! https://t.co/JlGlhvqJwI</t>
  </si>
  <si>
    <t>@AP4Liberty Interesting...</t>
  </si>
  <si>
    <t>@DougSides @jbirdinga It will be known in history as. "The 45 minute war"</t>
  </si>
  <si>
    <t>These antifascists are actually promoting fascism. They swallowed #theBigLie hook, line and sinker.  #LiberalismIsAMentalDisorder #maga🇺🇸 https://t.co/lP4snNBA7U</t>
  </si>
  <si>
    <t>Hmm trading $8000 worth of exemption for $1500 tax credit.  @12% tax Bracket.  #GOPTaxPlan will save me $600 in taxes. I'll take it.</t>
  </si>
  <si>
    <t>RT @RepJasonSmith: Talking w/ hardworking Americans about cutting #taxes for all &amp;amp; creating more jobs in the USA 🇺🇸 #CutsCutsCuts ✂️✂️✂️ #J…</t>
  </si>
  <si>
    <t>#IAmHillary who won California only because illegal aliens were allowed to vote.</t>
  </si>
  <si>
    <t>Shooting been reported at Walmart in Thornton Colorado.  Multiple victims reported.</t>
  </si>
  <si>
    <t>@RepJasonSmith @realDonaldTrump @EPA We got to keep rolling back those regulations.</t>
  </si>
  <si>
    <t>@AP 😅😅😅😅😅😅😅😅😅😅😅😅 made my day. Thnx.</t>
  </si>
  <si>
    <t>Planned Parenthood was birthed from fascism. #eugenics #TheBigLie #defundpp #abortionismurder #noabortionban https://t.co/FnZOOJeSGt</t>
  </si>
  <si>
    <t>#defundpp https://t.co/2hvWbclF4b</t>
  </si>
  <si>
    <t>#NoAbortionBan, just kidding.  BAN MOST ABORTIONS #defundplannedparenthood #defundpp #fetuslivesmatter #MAGA🇺🇸🇺🇸🇺🇸 #Trump2020</t>
  </si>
  <si>
    <t>Diversity Visas should have ended after the first WTC attack. #MAGA #MASA</t>
  </si>
  <si>
    <t>@BilldeBlasio @realDonaldTrump You were saying, Bill??????</t>
  </si>
  <si>
    <t>@realDonaldTrump 👏👏👏🇺🇸🇺🇸🇺🇸</t>
  </si>
  <si>
    <t>Hey @RalphNortham looks like you got your truck terrorist profile wrong in your ad!! #MAGA #MASA #manhattanterrorattack  🚫👣🐍 🇺🇸🇺🇸</t>
  </si>
  <si>
    <t>@SpeakerTimJones Coal gets a bad rap. Personally, I like having electricity in my house.</t>
  </si>
  <si>
    <t>@AP4Liberty @jeffreyscarson Love to have one</t>
  </si>
  <si>
    <t>@andybellaskam @SenJohnMcCain @ReaganBattalion Really don't care what the world thinks. It's #AmericaFirst 🇺🇸🇺🇸🇺🇸</t>
  </si>
  <si>
    <t>@realDonaldTrump Happy Halloween Mr President!!  Keep up the great work!! #MAGA!!!! 🇺🇸🇺🇸🇺🇸</t>
  </si>
  <si>
    <t>RT @mitchellvii: The Media thought this indictment would be Christmas morning but woke up to find grandma had given them socks.</t>
  </si>
  <si>
    <t>@jallman971 @PostDispatchbiz #MAGA!! #Winning 🇺🇸🇺🇸🇺🇸</t>
  </si>
  <si>
    <t>*while supporting</t>
  </si>
  <si>
    <t>What if Gen Kelly was referring to the south's lack of compromise causing #CivilWar. Mention civil war &amp;amp; the left goes from 0 to unhinged.</t>
  </si>
  <si>
    <t>Liberals complain about the civil war why supporting the modern day plantation of the inner cities and its welfare state. Cute...</t>
  </si>
  <si>
    <t>@Jenni__Mari @Benjami39287651 @RawStory You got it wrong. Fascism in America derives from the left wing.</t>
  </si>
  <si>
    <t>@MiklosJohn @NPR My guess is zero</t>
  </si>
  <si>
    <t>@NPR #notmuchthere   #MAGA!!!🇺🇸🇺🇸🇺🇸🇺🇸🇺🇸</t>
  </si>
  <si>
    <t>@robreiner @kbrown65807 I agree,  Clintons are going down. #maga!!!</t>
  </si>
  <si>
    <t>RT @SteveBannen: Q: if Robert Mueller is chasing tax evaders, who's investigating Russia's involvement in the 2016 election?</t>
  </si>
  <si>
    <t>@ksdknews Rasmussen suggests otherwise</t>
  </si>
  <si>
    <t>@tonycolombo971 @971FMTalk @MarcCox971 A witch hunter that might catch the real Witch ( https://t.co/LOZScYROKt</t>
  </si>
  <si>
    <t>Our #NothingBurger is turning into a #boomerang. #TonyPodesta #ClintonCrimeFamily #ClintonCorruption #maga!🇺🇸</t>
  </si>
  <si>
    <t>RT @JackPosobiec: Papadopolpus was a campaign volunteer https://t.co/kJctdG6vVU</t>
  </si>
  <si>
    <t>@akarl_smith Rasmussen is at 44% approval.  Gallup is skewed</t>
  </si>
  <si>
    <t>@SpeakerTimJones You think the left would know better by now 😅</t>
  </si>
  <si>
    <t>RT @Truthseeker126: #Mueller found such strong evidence of Trump #RussiaCollusion that he decided 2 chase down a couple of tax evaders inst…</t>
  </si>
  <si>
    <t>RT @SebGorka: Get this straight:
The news is an old wire fraud charge.
But Hillary received $145 MILLION as she approved our Uranium sale…</t>
  </si>
  <si>
    <t>RT @SebGorka: HANG ON: reports are charges relate to bank wires from 2006-15
I thought this was about Russia and the 2016 election.
Muell…</t>
  </si>
  <si>
    <t>@SebGorka #FireMueller</t>
  </si>
  <si>
    <t>@Corrynmb @POTUS Waste of time and tax dollars #FireMueller #NothingBurger #MAGA!!!</t>
  </si>
  <si>
    <t>@LiberalKimmy66 @whereveriwant2 Sure thing.   Dazzle me..</t>
  </si>
  <si>
    <t>@whereveriwant2 Haha. 😅😅😅🇺🇸 That all you got?   #MAGA</t>
  </si>
  <si>
    <t>@ResistBLOTUS Awesome!  Goes well with my mug of liberal tears.  Thanks for asking. (By the way y'all got nothing but a short distraction). #MAGA !!🇺🇸</t>
  </si>
  <si>
    <t>@clairecmc Praying for him.</t>
  </si>
  <si>
    <t>@971FMTalk @jallman971 @gatewaypundit @RodneyBoyd @RobRains Indictment story is a nothingburger.</t>
  </si>
  <si>
    <t>@Breaking911 #nothingburger!!!!!</t>
  </si>
  <si>
    <t>RT @dbongino: Liberals destroy everything they touch. The NFL, Halloween, Christmas, American history, healthcare, the economy... They’re a…</t>
  </si>
  <si>
    <t>@Tinkbear82 @RStarovich @TeaPainUSA Best not to tread at all 🚫👣🐍 #MAGA</t>
  </si>
  <si>
    <t>Nothingburger coming at y'all. #MAGA!!! #MuellerMonday</t>
  </si>
  <si>
    <t>RT @LauraLeeBordas: ok we need to start a new thread so everyone who sees this jump  on https://t.co/1goNdy3iiY</t>
  </si>
  <si>
    <t>@LauraLeeBordas @TrumpChess I stand with President Trump!! @realDonaldTrump #maga!!</t>
  </si>
  <si>
    <t>@ShaunKing So leave Talculm X!!!  #MAGA!!!</t>
  </si>
  <si>
    <t>Building up the liberals for the big let down tomorrow.   That is almost cruel. Yet very funny 👏👏😅😅. #MAGA has your back! 🇺🇸🇺🇸🇺🇸 https://t.co/JvMrr78W6D</t>
  </si>
  <si>
    <t>In honor of #NationalCatDay here is a pic of Sourpatch https://t.co/oQxAViVSWw</t>
  </si>
  <si>
    <t>@mmurraypolitics @kbrown65807 Nothingburger.  Monday will be fun.</t>
  </si>
  <si>
    <t>#IndictmentMonday = #nothingburger #liberaltears.  Remember #LiberalismIsAMentalDisorder!  #MAGA!!!!! 🇺🇸🇺🇸🇺🇸. 🚫👣🐍</t>
  </si>
  <si>
    <t>RT @DonaldJTrumpJr: Putting the ass in class. This is the resistance!  https://t.co/XV5ByZlrEl</t>
  </si>
  <si>
    <t>RT @thingstrumpsay: VOTE IN 2018!! #draintheswamp #MAGA</t>
  </si>
  <si>
    <t>RT @GartrellLinda: Thank you @POTUS @realDonaldTrump for speaking to us directly using twitter
Your @TrumpArmy is determined 2 help you #MA…</t>
  </si>
  <si>
    <t>Always!  #MAGA🇺🇸 https://t.co/heBhxq7cUO</t>
  </si>
  <si>
    <t>RT @WalkerStemmons: @POTUS just a reminder that we, the silent MAJORITY, support and love what you're doing to #MAGA</t>
  </si>
  <si>
    <t>@kregger2012 You are close. Read #TheBigLie for clarification.</t>
  </si>
  <si>
    <t>RT @LindaSuhler: I had great expectations of President Trump, but our President has delivered way beyond what even I expected.
We are so b…</t>
  </si>
  <si>
    <t>Drug traffickers should get the death penalty in the USA #ConfessYourUnpopularOpinion</t>
  </si>
  <si>
    <t>@Alyssa_Milano Bring it...😀🇺🇸</t>
  </si>
  <si>
    <t>@ksdknews So what?  People in hell want ice water...</t>
  </si>
  <si>
    <t>#BlackCatsAre Awesome!!!!</t>
  </si>
  <si>
    <t>@Evan_McMullin Y'all are funny. It is like Nov 8th all over again.  We'll see whose standing when the smoke clears. My bet is Trump #MAGA!🇺🇸</t>
  </si>
  <si>
    <t>Damn the torpedos! Full speed ahead!!!!  The swamp critters know their time is about up!!  #MAGA #UraniumOneScandal  🇺🇸</t>
  </si>
  <si>
    <t>@realBigBalls Of the Clintons...</t>
  </si>
  <si>
    <t>@Knights_FHS Update?</t>
  </si>
  <si>
    <t>@fillinthablankk @realDonaldTrump No that would be Obama!</t>
  </si>
  <si>
    <t>@realDonaldTrump WE HAPPENED!!! 🚫👣🐍. 🇺🇸🇺🇸🇺🇸</t>
  </si>
  <si>
    <t>#Mueller is going to pull a #Mosby</t>
  </si>
  <si>
    <t>Your last name is Clinton  #SignsYoureABadPresident</t>
  </si>
  <si>
    <t>Question. @AP4Liberty Border Wall paid for by taxing the money that migrant workers send to Mexico. Like $5 fee per transaction. Yea or nay?</t>
  </si>
  <si>
    <t>@Lrihendry @realDonaldTrump Been my thought all along.</t>
  </si>
  <si>
    <t>Most of America agrees with Bob McNair's comments. 👏👏👏</t>
  </si>
  <si>
    <t>@ShaunKing Prisoners who make millions to play a game. Shut up......</t>
  </si>
  <si>
    <t>@ResistanceZone Sticks and stones......</t>
  </si>
  <si>
    <t>@rev18pac @Derwood130 #MAGA!!!!  Can't wait for year 2</t>
  </si>
  <si>
    <t>@realtalkjunkies I feel so sorry for the poor imates making millions to play a game.</t>
  </si>
  <si>
    <t>RT @realDonaldTrump: Wacky &amp;amp; totally unhinged Tom Steyer, who has been fighting me and my Make America Great Again agenda from beginning, n…</t>
  </si>
  <si>
    <t>@JulianAssange @realDonaldTrump Swamp critters being swamp critters. 🐸🐢🐍🦎🐊#draintheswamp!!</t>
  </si>
  <si>
    <t>@jallman971 ???</t>
  </si>
  <si>
    <t>@AP4Liberty Proud COO parent here🇺🇸🙏📚</t>
  </si>
  <si>
    <t>@JohnJHarwood @msdwallace Skewed polls meh..  but let's keep on point #UraniumOneDeal #TrumpDossier #corruptDNC #ClintonRussiaCollusion #podesta #LockHerUpNow 🇺🇸🇺🇸🇺🇸</t>
  </si>
  <si>
    <t>@Rosie @msdwallace Y'all are funny. #MAGA!!! 🇺🇸🇺🇸🇺🇸🇺🇸🇺🇸🇺🇸🇺🇸🇺🇸🇺🇸🇺🇸🇺🇸🇺🇸🇺🇸🇺🇸🇺🇸🇺🇸🇺🇸🇺🇸🇺🇸🇺🇸🇺🇸🇺🇸🇺🇸🇺🇸🇺🇸🇺🇸🇺🇸🇺🇸🇺🇸🇺🇸🇺🇸🇺🇸🇺🇸🇺🇸🇺🇸🇺🇸🇺🇸🇺🇸🇺🇸🇺🇸🇺🇸🇺🇸🇺🇸🇺🇸🇺🇸🇺🇸🇺🇸🇺🇸🇺🇸🇺🇸🇺🇸🇺🇸🇺🇸🇺🇸🇺🇸🇺🇸🇺🇸</t>
  </si>
  <si>
    <t>@ummmno21 I voted for President Trump with the expectation that he would allow his generals to do what they do with minimal oversight.</t>
  </si>
  <si>
    <t>RT @FoxNews: Moments ago, @POTUS gave his take on the uranium sale to Russia while speaking to reporters. https://t.co/O03y5zkww7</t>
  </si>
  <si>
    <t>@Nobodylou1968 @5dChessBS @Breaking911 X2</t>
  </si>
  <si>
    <t>@Breaking911 Winning! #Maga!🇺🇸</t>
  </si>
  <si>
    <t>@chrislhayes Real news. MSNBC ought to try it sometime....!</t>
  </si>
  <si>
    <t>RT @TallManShort: Many of us were raised learning about Teapot Dome as the biggest corruption scandal in US history. #TrumpDossier/#Uranium…</t>
  </si>
  <si>
    <t>@Evan_McMullin @kbrown65807 Spoken like a true RINO!!!  #MAGA!!!!! 🇺🇸</t>
  </si>
  <si>
    <t>@SpeakerTimJones The GOP is transforming, casting off dead weight #MAGA 🇺🇸🇺🇸🇺🇸</t>
  </si>
  <si>
    <t>RT @FightNowAmerica: Emails Confirm what we knew all along: Obama was the most corrupt president in American history.
Obama DOJ #TrumpDoss…</t>
  </si>
  <si>
    <t>@SebGorka Gotta keep the focus on #UraniumOneDeal. The dossier fraud is icing on the cake but #uraniumone is the pay dirt. But yes Winning #MAGA! 🇺🇸</t>
  </si>
  <si>
    <t>RT @ksdknews: AP source: Clinton camp helped fund Trump dossier research
https://t.co/BauERqoq0I</t>
  </si>
  <si>
    <t>RT @issuemaverick: #TrumpDossier tweet it now</t>
  </si>
  <si>
    <t>RT @J_Teller07: And the Dem's house of cards &amp;amp; Trump/Russia collusion fantasy comes tumbling down😂😂😂 #TrumpDossier https://t.co/3kP2wXIQ8p</t>
  </si>
  <si>
    <t>RT @ummmno21: I swear Trump supporters are the toughest people on the planet. We’ve taken so much shit, and never waived. This is vindicati…</t>
  </si>
  <si>
    <t>RT @ScottPresler: We are going to witness the complete destruction of the democrat party. 
Let's make history.
#UraniumOne #FusionGPS</t>
  </si>
  <si>
    <t>The Republican Party is transforming. #MAGA rises!!! 🇺🇸🇺🇸🇺🇸</t>
  </si>
  <si>
    <t>@InstinctCullen @TrueDailyRants We're getting there...  #UraniumOneDeal</t>
  </si>
  <si>
    <t>@ZyndelKasaw @BillyBobDullard @KVWNActionNews Time will tell  but empty stadiums are suggesting otherwise. The NFL is done</t>
  </si>
  <si>
    <t>@SchlichtingAlan @_Travis_Talks_ @TheButterZone @AdolphusKeaton @AP4Liberty @DineshDSouza Yep just finished it. Blew my mind.</t>
  </si>
  <si>
    <t>@_Travis_Talks_ @SchlichtingAlan @TheButterZone @AdolphusKeaton @AP4Liberty Simple. Leftist fascist prefer a strong centralized state over individual rights.</t>
  </si>
  <si>
    <t>@_Travis_Talks_ @AP4Liberty How so exactly?</t>
  </si>
  <si>
    <t>@_Travis_Talks_ @AP4Liberty Does not really matter what she thinks. What matters is what the US Constitution and its amendments states.</t>
  </si>
  <si>
    <t>@_Travis_Talks_ @TheButterZone @AdolphusKeaton @AP4Liberty Which topic is mentioned in the bill of rights?</t>
  </si>
  <si>
    <t>@ddale8 @TrueDailyRants I remember polls one year ago. See how well they worked?  Keep crunching numbers while @realDonaldTrump continues to #MAGA!  #silentmajority</t>
  </si>
  <si>
    <t>RT @kwilli1046: Retweet if you love this flag! #NFLBoycott https://t.co/vVwIdcjNhX</t>
  </si>
  <si>
    <t>One can only hope...#MAGA!!!🇺🇸🇺🇸 https://t.co/S71VnHlt27</t>
  </si>
  <si>
    <t>#YearofTrump actually 9 months of President Trump. A-/B+.  #MAGA🇺🇸🇺🇸</t>
  </si>
  <si>
    <t>@JCPeace1 My initial guess is that supply vs demand for healthcare is a much different ratio compared to the United States.</t>
  </si>
  <si>
    <t>@JCPeace1 A very tiny city state.</t>
  </si>
  <si>
    <t>@MADE__USA How about a non refundable credit for parents of defendants above 17 who have enrolled in college.  @realDonaldTrump</t>
  </si>
  <si>
    <t>@steph93065 @SandraTXAS @nickapls @FurLivesMatter @michaelvedal @carrieksada @clark1dj @LeslieSawyer17 @CarmineZozzora @Braveheart_USA @JohnTDolan @AmericanHotLips @DrLee4America @TheTrumpLady @AppSame @phil200269 @ChristieC733 @AllenWest I hold a degree but real life experience has cured me of any liberalism that I was taught in school. #maga!! 🇺🇸🇺🇸</t>
  </si>
  <si>
    <t>For the first time I can remember my #healthcare premium and deductible aren't increasing in the new year. #winning #MAGA @realDonaldTrump</t>
  </si>
  <si>
    <t>The casual usage of "White Supremacist" today reminds me of the boy who cried wolf.</t>
  </si>
  <si>
    <t>Well if that is not a conflict of interest, I do not know what is....  #russiaclinton #deepstate @jallman971 @971FMTalk https://t.co/akiqtqdzc4</t>
  </si>
  <si>
    <t>@chris0s @AP4Liberty Nothing rational about leftist fascism. America dodged a huge bullet in 2016.</t>
  </si>
  <si>
    <t>@AP4Liberty #MAGA will leave the never trumpers in the dust. Excited to see what happens in 2018 and a Trump landslide in 2020!! 🇺🇸🇺🇸🇺🇸🇺🇸</t>
  </si>
  <si>
    <t>RT @DineshDSouza: To think that we worked so hard for the Bushes, McCain, Romney! Let’s not be so gullible ever again</t>
  </si>
  <si>
    <t>@paulsperry_ No surprise there, Harvard honored fascist back in the early 1900s.</t>
  </si>
  <si>
    <t>RT @SteveBannen: We fought to defend Bush.
We fought to defend McCain.
We fought to defend Romney.
Then they stabbed us in the back!</t>
  </si>
  <si>
    <t>@RepAdamSchiff @kbrown65807 @POTUS Yep has nothing to do with the fact that the Dems ran the most corrupt canidate to hold office since Boss Hogg.</t>
  </si>
  <si>
    <t>@alwaystheself That does not make a lick of sense.</t>
  </si>
  <si>
    <t>#TheBigLie should be read by every #deplorable. A #redpill for sure that defines exactly what we and @realDonaldTrump are up against</t>
  </si>
  <si>
    <t>@DineshDSouza Why are most Democrat ran cities, like St. Louis, crime ridden cess pools if democrats care about minorities. They just want votes; thats it</t>
  </si>
  <si>
    <t>@goodday2smile Prepare to be blown away...</t>
  </si>
  <si>
    <t>@therealroseanne No we stay and fight🇺🇸🇺🇸🇺🇸</t>
  </si>
  <si>
    <t>Disclaimer I do not agree with #richardspencer but free speech is free speech.</t>
  </si>
  <si>
    <t>What's funny about  #SpencerAtUF is that the fascist left exposed themselves once again.  Antifa employing fascist tactics. #TheBigLie</t>
  </si>
  <si>
    <t>@ReneeCarrollPhx It's good to see Hollywood fall.  Part of the unholy leftist trinity.</t>
  </si>
  <si>
    <t>#SpencerAtUF is unimportant #UraniumOneDeal on the other hand.....</t>
  </si>
  <si>
    <t>Whatever...  #MAGA Trumptrain full speed ahead!!!🇺🇸🇺🇸🇺🇸🚫👣🐍 https://t.co/APBmOeAoIj</t>
  </si>
  <si>
    <t>RT @DineshDSouza: Sorry Charles but historically, ideologically &amp;amp; tactically, Fascism remains a phenomenon of the Left https://t.co/pJnW7aG…</t>
  </si>
  <si>
    <t>RT @Pro_2_A: Trump isn't Hitler. Liberals are. See @DineshDSouza's book 'The Big Lie' for reference. https://t.co/L9FsOzVkXg</t>
  </si>
  <si>
    <t>RT @therainbowheron: The article "Trump Isn't Hitler" by Charles M. Blow is propagandist bullshit. Read #TheBigLie by @DineshDSouza for tru…</t>
  </si>
  <si>
    <t>"Trump Isn't Hitler" the left is just projecting to deflect from their roots. #TheBigLie</t>
  </si>
  <si>
    <t>RT @ScottPresler: We all need to be tweeting about Uranium One.
This implicates a lot of people, including Hillary and Bill Clinton. 
#Ura…</t>
  </si>
  <si>
    <t>@BrownPower99 @realDonaldTrump @RepMaxineWaters The left erasing their own racist history. #TheBigLie</t>
  </si>
  <si>
    <t>@SchiezelE @MickeySCarolina @JamesADamore Mussolini was extremely nationalistic and a socialist.</t>
  </si>
  <si>
    <t>@zachtratar @Paisano @JamesADamore @DineshDSouza About 3/4 through #thebiglie. Makes quite abit of sense thus far.</t>
  </si>
  <si>
    <t>@JamesADamore I believed the horseshoe graph throughout college. Now I realize it is #TheBigLie.  Socialism leads to fascism.</t>
  </si>
  <si>
    <t>@MeaganNBCDC Fascism on parade. Falling for #TheBigLie</t>
  </si>
  <si>
    <t>RT @polishprincessh: My husband is on his 3rd deployment protecting you ungrateful people. You forget how privileged you are!
STAND UP!
htt…</t>
  </si>
  <si>
    <t>RT @SaraCarterDC: Wonder what story I'll be breaking tomorrow? Hint, it has to do with #Russia, something that happened in the Obama Admini…</t>
  </si>
  <si>
    <t>@jallman971 @SpeakerTimJones   Any ideas of what might be coming down the turnpike? https://t.co/s2tuDzxgUf</t>
  </si>
  <si>
    <t>Gorsuch is our assurance that we will be able to still recognize our nation in 20 years.</t>
  </si>
  <si>
    <t>@EricGreitens MAGA!!!🇺🇸🇺🇸🇺🇸.</t>
  </si>
  <si>
    <t>RT @EricGreitens: Satanic Temple, Planned Parenthood, and the ACLU are suing Missouri because of our conservative reforms. We must be doing…</t>
  </si>
  <si>
    <t>RT @DineshDSouza: The most effective counter strike of all would be to boycott #Superbowl2018 —that would panic advertisers &amp;amp; bring the @NF…</t>
  </si>
  <si>
    <t>@ummmno21 Judging by last nights tweets. Bacon egg cheese biscuit and red Gatorade.</t>
  </si>
  <si>
    <t>@clairecmc Wow. We agree on something.   😀</t>
  </si>
  <si>
    <t>RT @RoyBlunt: My statement on President Trump’s Iran announcement: https://t.co/aioh1Pz3KL</t>
  </si>
  <si>
    <t>@RoyBlunt Chances are they have been building weapons all long. Just like NK.</t>
  </si>
  <si>
    <t>@SBibimus @DrDenaGrayson 😅😅😅😅😅.  That's good</t>
  </si>
  <si>
    <t>@DrDenaGrayson Keep dreaming doc while we #MAGA!!!🇺🇸</t>
  </si>
  <si>
    <t>It has been a great week for #MAGA!!!🇺🇸🇺🇸🇺🇸🇺🇸</t>
  </si>
  <si>
    <t>@rdhesselbrock @FoxNews @POTUS You mean like how planned parenthood rips out.....😉</t>
  </si>
  <si>
    <t>If #Trumpcare means rolling back #obamacare completely then I am all for it. #maga!!!🇺🇸</t>
  </si>
  <si>
    <t>RT @DTrumpPoll: Do you think @realDonaldTrump is mentally fit enough to be @POTUS?
Please vote and RT 😊</t>
  </si>
  <si>
    <t>@NPR So nice to see socialist policies being swept away. Promises kept!!! #MAGA🇺🇸🇺🇸</t>
  </si>
  <si>
    <t>@realDonaldTrump Shred it apart and bury it!!!! 👏👏👏👏👏👏👏</t>
  </si>
  <si>
    <t>@PPact @KaiserFamFound Can't wait for @realDonaldTrump to defund y'all.</t>
  </si>
  <si>
    <t>@CapehartJ Again ???  Yawn..  #LiberalismIsAMentalDisorder</t>
  </si>
  <si>
    <t>@tedlieu @realDonaldTrump Dear world. We're not sorry. It is #americafirst!!  Respectively, -the #Deplorables 🚫👣🐍. #Maga!!! 🇺🇸</t>
  </si>
  <si>
    <t>RT @realDonaldPolls: POLL🇺🇸
Do you approve of the job @realDonaldTrump as @POTUS is doing??
#Retweet</t>
  </si>
  <si>
    <t>@NBCNews @bricrem2 It has been a #MAGA day🇺🇸🇺🇸🇺🇸</t>
  </si>
  <si>
    <t>RT @AP4Liberty: Amen, Mr. President! #DefundtheNFL https://t.co/nvwLijEaky</t>
  </si>
  <si>
    <t>@AP4Liberty Planned parenthood.</t>
  </si>
  <si>
    <t>@PoliticalBee @NBCNews How many millions do those "slaves" make a year?</t>
  </si>
  <si>
    <t>@NBCNews MAGA!!!!!!!!! 🇺🇸🇺🇸🇺🇸🇺🇸🇺🇸🇺🇸🇺🇸💙🖤💙🖤💙🖤</t>
  </si>
  <si>
    <t>Roger Goodell has succumbed to the power of #MAGA and the silent majority 🇺🇸🇺🇸🇺🇸🇺🇸🇺🇸🇺🇸</t>
  </si>
  <si>
    <t>@RoyBlunt #LiberalismIsAMentalDisorder</t>
  </si>
  <si>
    <t>RT @Rose4Austin2018: .@AP4Liberty 
Not establishment 
Won’t be controlled by them
Aligns with the common ppl of MO
No deep pocket
Calls his…</t>
  </si>
  <si>
    <t>We want #MAGA!!! #mosen @AP4Liberty is the one to deliver! @gatewaypundit @jallman971 @971FMTalk 🇺🇸🇺🇸🇺🇸</t>
  </si>
  <si>
    <t>#ColumbusDay seems to be unhinged liberal day. Sheesh. #LiberalismIsAMentalDisorder 😅😅🇺🇸🇺🇸🇺🇸🇺🇸🇺🇸🇺🇸🇺🇸🇺🇸🇺🇸🇺🇸🇺🇸🇺🇸🇺🇸🇺🇸🇺🇸🇺🇸🇺🇸🇺🇸🇺🇸🇺🇸🇺🇸🇺🇸🇺🇸🇺🇸🇺🇸🇺🇸</t>
  </si>
  <si>
    <t>Happy #ColumbusDay!!! #maga 🇺🇸🇺🇸🇺🇸⛵️⛵️⛵️⚓️</t>
  </si>
  <si>
    <t>RT @opinionsamerica: Do you approve of how the @potus @realDonaldTrump has handled the tragic events over the last month?  Vote and Retweet…</t>
  </si>
  <si>
    <t>I guess we found the storm 😅#MAGA #HandsOffMyBC #calmbeforethestorm</t>
  </si>
  <si>
    <t>@971FMTalk @jallman971 It could be just one of those random things, like someone snapping. But I seriously doubt it.</t>
  </si>
  <si>
    <t>Heading out to the driving range. #BoycotttheNFL #boycottNLF #BoycottAnythingNFL 🚫🏈🇺🇸🇺🇸🇺🇸🇺🇸🇺🇸🇺🇸🇺🇸🇺🇸🇺🇸🇺🇸🇺🇸🇺🇸🇺🇸</t>
  </si>
  <si>
    <t>Because he will MAKE AMERICA GREAT AGAIN #maga 🇺🇸🇺🇸🇺🇸🇺🇸🇺🇸🇺🇸🇺🇸🇺🇸🇺🇸🇺🇸🇺🇸🇺🇸🇺🇸🇺🇸🇺🇸🇺🇸🇺🇸🇺🇸🇺🇸🇺🇸🇺🇸🇺🇸🇺🇸🇺🇸🇺🇸🇺🇸🇺🇸🇺🇸🇺🇸🇺🇸🇺🇸 #WhyWeMustImpeachTrumpin7Words</t>
  </si>
  <si>
    <t>Only in St. Louis kids shot on a weekly basis &amp;amp; people continue to protest over a dead heroin dealer. Which #BlackLivesMatter?🙄#STLverdict https://t.co/7sFcnx9RZS</t>
  </si>
  <si>
    <t>@sarahfelts Stockley still non guilty, Trump still president. Life goes on in 99.99% of the metro.   Your movement has no endgame. Winter is coming. Meh</t>
  </si>
  <si>
    <t>@realDonaldTrump @gsuzy #handoverheart</t>
  </si>
  <si>
    <t>@velvethammer @ClipTheVideo @bassem_masri Yep we would love to have him visit out here....😅</t>
  </si>
  <si>
    <t>@CharlieDaniels Welcome to the show me state!!</t>
  </si>
  <si>
    <t>RT @velvethammer: So many fragile little #STLVerdict rioters are angry about new accts popping up. You're fooling no one besides yourselves…</t>
  </si>
  <si>
    <t>Thank you @slmpd for the job you do.  Good to see y'all today relaxing with your families at an area attraction #STLVerdict #BackTheBlue 👏</t>
  </si>
  <si>
    <t>RT @RealJamesWoods: Have Bill checked for scabies... https://t.co/Vm8hF3y9ZJ</t>
  </si>
  <si>
    <t>@FOX2now Wow...,  they sure showed us 😂😂😂😂</t>
  </si>
  <si>
    <t>@christinkallama @SLMPD Winter is coming soon. 💨❄️🌧💧⛈⛄️☃️</t>
  </si>
  <si>
    <t>@stlouisdsa If the trend continues attendance should be 30 protestors 2 journalists</t>
  </si>
  <si>
    <t>@jnm0201 @loadthewagon21 @NFL Too late  #HandOverHeart #StandForOurAnthem #maga 🇺🇸🇺🇸🇺🇸</t>
  </si>
  <si>
    <t>@drewbrees #HandOverHeart nothing less!!!!!!!🇺🇸🇺🇸🇺🇸</t>
  </si>
  <si>
    <t>@ACLU @Rebelutionary_Z But schools ban the rebel flag on school parking lots.  What says the ACLU about that?</t>
  </si>
  <si>
    <t>@sarah_m_benner @realDonaldTrump We were divided to that degree way before he came into office.</t>
  </si>
  <si>
    <t>*got murdered</t>
  </si>
  <si>
    <t>Couple of folks good murdered in North St Louis last night.   Y'all should go protest there. #STLverdict https://t.co/SLQRUtMoou</t>
  </si>
  <si>
    <t>Hey #nfl locking arms is not acceptable and ya'll know it. Show respect for flag by standing with right #HandOverHeart! #maga 🇺🇸🇺🇸🇺🇸</t>
  </si>
  <si>
    <t>@Reuters It's called #MAGA and we are just getting warmed up.  Respectfully, the #Deplorables 🇺🇸🇺🇸🇺🇸 🚫👣🐍 #AmericaFirst</t>
  </si>
  <si>
    <t>@SLMPD Got tense there for a while. Y'all did great!!!</t>
  </si>
  <si>
    <t>@AllmanReport @jallman971 Haha. You blew the protesters lies out of the water!   👏👏👏👏👏👏</t>
  </si>
  <si>
    <t>@_GLITTEROUS_ @SLMPD @ChiefSLMPD You realize that you are ranting and Ravng at a police dept that was not there right?. Sheesh....</t>
  </si>
  <si>
    <t>@AllmanReport @jallman971 Setting DVR!!</t>
  </si>
  <si>
    <t>@velvethammer Go ninja go ninja go.....</t>
  </si>
  <si>
    <t>@sarahkendzior @MissJupiter1957 @search4swag Not sure why y'all are mourning a dead heroin dealer.  Countless lives may have been saved because of this incident. #stlverdict</t>
  </si>
  <si>
    <t>@MoDOTSoutheast  how long can I leave a car at a commuter lot?</t>
  </si>
  <si>
    <t>Think the president can negotiate better. @jallman971 #taxreform https://t.co/GnIP7FF3Dw</t>
  </si>
  <si>
    <t>Hey @realDonaldTrump   Rethink this.  At least allow child tax credits for older  dependants if college full time. Deduct Room &amp;amp; board. https://t.co/IND3SwMXvc</t>
  </si>
  <si>
    <t>Not thrilled with #TaxReform proposal. 2 college aged kids; will lose 10k in exemptions in exchange for a 3% tax break on 75% of income nah</t>
  </si>
  <si>
    <t>@truenorthpoint @20committee Urban vS suburban/rural</t>
  </si>
  <si>
    <t>@KUblowz4evr @KMOV Flying carpet attack!!!</t>
  </si>
  <si>
    <t>@velvethammer Still Not Guilty!!!😂😂😂😂</t>
  </si>
  <si>
    <t>That moment when Civil War is trending on twitter 😳</t>
  </si>
  <si>
    <t>@971FMTalk @jallman971 Swamp critters....</t>
  </si>
  <si>
    <t>@SpeakerTimJones @AllmanReport @jallman971 Enjoyed you on the show tonight as always. But, Hawley is not the shoe in candidate against Clare.   @AP4Liberty is MAGA!!!🇺🇸</t>
  </si>
  <si>
    <t>RT @jstines3: Stand side by side w POLICE, our local heroes! 
#PJNET #PoliceLivesMatter #BlueLivesMatter #BackTheBlue 
https://t.co/fNRgd…</t>
  </si>
  <si>
    <t>@AlphaMillenial @AP4Liberty The end game is Clair Mccaskill.</t>
  </si>
  <si>
    <t>@AP4Liberty Enough to believe you are the man for the job.</t>
  </si>
  <si>
    <t>@AP4Liberty Simple question are you GOP or MAGA???</t>
  </si>
  <si>
    <t>@TreyYingst The MAGA juggernaut rolls on!!!!</t>
  </si>
  <si>
    <t>@alexpoucher Meanwhile. No one in the stadiums cares</t>
  </si>
  <si>
    <t>@SpeakerTimJones @tonymess @jallman971 They have their way and St. Louis will be the next Cairo.</t>
  </si>
  <si>
    <t>@jallman971 @PDBeth What do you expect?  It is the post disgrace!!!!!</t>
  </si>
  <si>
    <t>@PDPJ @PDBeth And they got stopped in their tracks.</t>
  </si>
  <si>
    <t>RT @Warrior4MMA: @BasedMonitored @mrntweet2 @NFL Cowboys...explain your childish actions to her and her flag....asshole jocks https://t.co/…</t>
  </si>
  <si>
    <t>@SLMPD Back the blue 🇺🇸🖤💙🖤💙</t>
  </si>
  <si>
    <t>@STLYoungDems 100 vs 45000.</t>
  </si>
  <si>
    <t>@PPMW_ACT Hey. How many babies have y'all butchered today?</t>
  </si>
  <si>
    <t>@nytimes Please stop scaring the liberals @nytimes,  You gotta remember that most of them are not well versed in geopolitical things😂😂😂😂😂😂😂😂😂😂😂😂😂😂😂😂</t>
  </si>
  <si>
    <t>RT @Patrici15767099: How did this country get this messed up where people protest the American flag because of  thugs shot while fighting w…</t>
  </si>
  <si>
    <t>@polishprincessh @NFL I wish I could boycott SAP.... 😂</t>
  </si>
  <si>
    <t>@DineshDSouza @Brandontheblade Watching golf is a relaxing way to spend a Sunday afternoon.</t>
  </si>
  <si>
    <t>Police should walk out of any game where players take a knee.  #TakeAStandNotAKnee</t>
  </si>
  <si>
    <t>RT @WeWantTrump2020: How many RETWEETS can we get for  Villanueva...served 3 tours in Afghanistan, stood outside the tunnel for the anthem…</t>
  </si>
  <si>
    <t>@SheDigsDonaldT She blocked me as well.  Thin skin I reckon..... 😂 #STLVerdict</t>
  </si>
  <si>
    <t>@NFL @cj_wentz #BoycotttheNFL</t>
  </si>
  <si>
    <t>RT @theoptionoracle: Retweet if you plan on boycotting the @NFL this Sunday.
@AppSame #BoycottNFL @espn @Lrihendry @RealJamesWoods https:/…</t>
  </si>
  <si>
    <t>#STLVerdict  Back the blue!!</t>
  </si>
  <si>
    <t>#STLVerdict whose mall?????💙🖤💙🖤💙🖤😅😅😅😅😅👏👏👏@stlcountypd</t>
  </si>
  <si>
    <t>@BrianHeff 👏👏👏👏👏👏👏👏👏👏🖤💙🖤🖤</t>
  </si>
  <si>
    <t>I #TakeAKnee at the cross and stand proudly with my hand over my heart for our flag. https://t.co/rAdaFAXzrN</t>
  </si>
  <si>
    <t>We have better things to do than watch overpaid crybabies!! #BoycottNFL #MAGA!!!! #BackTheBlue #PoliceLivesMatter 🇺🇸🇺🇸🇺🇸💙🖤🚫🏈</t>
  </si>
  <si>
    <t>RT @Michealkerr222: Are you gonna help #BoycottNFL if so let's all show them with a poll</t>
  </si>
  <si>
    <t>RT @RealJamesWoods: Please retweet this Amber Alert info on kidnapped 9 year-old-boy. https://t.co/QnIRwJJCCq</t>
  </si>
  <si>
    <t>@STLJustice4All @TR0FI By bothering people who just wanted to drink beers in peace?</t>
  </si>
  <si>
    <t>Touché</t>
  </si>
  <si>
    <t>Like we give a damn about the NFL players think about anything. RESPECT OUR FLAG!!!! 🇺🇸. #maga https://t.co/HSD2KbcZPU</t>
  </si>
  <si>
    <t>@kimbui So they are going to go to the burbs, where heroin is tearing apart middle class families and expect folks to care about a heroin dealer😂😅🙄</t>
  </si>
  <si>
    <t>@LisaBrownSTL They won't find much sympathy outside the I 270 beltway.  Rest of state thinks they are psychotic.</t>
  </si>
  <si>
    <t>@madamnchannel @rpatrickdelaney As about as smart as harassing drunk people</t>
  </si>
  <si>
    <t>@sarahfelts But I suppose you have to have the right bias.  Deplorables need not apply... correct?</t>
  </si>
  <si>
    <t>@CassandraRules Catfight!!!!!!!  😀</t>
  </si>
  <si>
    <t>RT @SmoosieQ: #STLVerdict We're Honoring Heroin Dealers Now? https://t.co/Jx5Jb69Lta</t>
  </si>
  <si>
    <t>RT @velvethammer: @PPMO_Advocates @PPSLR Baby butchers handing out 1st-aid kits 2those marching in defense of a heroin dealer Universe is o…</t>
  </si>
  <si>
    <t>@PPMO_Advocates @PPSLR Protest dead heroin dealers while killing black babies by the hundreds daily....  #blacklivesmatter? #blm #defundpp</t>
  </si>
  <si>
    <t>@RickMeyerKSDK Whose side?....</t>
  </si>
  <si>
    <t>New TRAVEL BAN in the works. #maga #masa #travelban   🇺🇸🇺🇸🇺🇸🇺🇸🇺🇸🇺🇸🇺🇸🇺🇸🇺🇸🇺🇸🇺🇸🇺🇸🇺🇸🇺🇸🇺🇸🇺🇸🇺🇸🇺🇸🇺🇸🇺🇸🇺🇸🇺🇸🇺🇸🇺🇸🇺🇸🇺🇸🇺🇸🇺🇸🇺🇸</t>
  </si>
  <si>
    <t>@NBCNightlyNews MAGA!!!!🇺🇸🇺🇸🇺🇸🇺🇸🇺🇸🇺🇸🇺🇸🇺🇸🇺🇸🇺🇸</t>
  </si>
  <si>
    <t>@stltoday Let it ACA implode!</t>
  </si>
  <si>
    <t>Hey @stlcountypd you may want to advise Cabela's to lock up their Guns, knives and ammo. https://t.co/QPuCbvsiaF</t>
  </si>
  <si>
    <t>@RealJamesWoods #BoycottNFL  I will not watch one play, or any Super Bowl commercial or halftime show.</t>
  </si>
  <si>
    <t>@AntonioFrench And the Band plays on🎺🎼🎹🎹🎹🎤🎷🎸🥁🎼</t>
  </si>
  <si>
    <t>@CaseyNolen They had to be big shots didn't they</t>
  </si>
  <si>
    <t>@EricCoxKMOV @KMOV Bringing kids to this?</t>
  </si>
  <si>
    <t>@FOX2now What do we want ?  Starbucks!</t>
  </si>
  <si>
    <t>RT @JenEnnenbach: THIS is #STL it's time to be grown ups again and take on your own personal responsibilities. #donttread on us! #StockleyP…</t>
  </si>
  <si>
    <t>@CoriBush @stlcountypd did last night 😅😅😅</t>
  </si>
  <si>
    <t>@Youronlymisha @cynthiajordan70 I thought they dispersed</t>
  </si>
  <si>
    <t>@Rebelutionary_Z Gotta keep the children off the interstate.</t>
  </si>
  <si>
    <t>@alexiszotos Clayton shutting down due to domestic terrorism.  Sad. @EricGreitens @StengerSTLCo @stlcountypd</t>
  </si>
  <si>
    <t>@tonycolombo971 @971FMTalk   In case y'all have not seen this. https://t.co/tM8icOWXU5</t>
  </si>
  <si>
    <t>@971FMTalk @jallman971 @JJCarafano Cleary @JJCarafano has never heard @jallman971 speak to Damon....😅</t>
  </si>
  <si>
    <t>@971FMTalk @jallman971 President Trump may not be the most articulate speaker, but content wise that was the best UN speech I ever heard.</t>
  </si>
  <si>
    <t>2 quiet nights @SLMPD.  I guess the "agitators" got your message loud and clear</t>
  </si>
  <si>
    <t>@HarryTuttle11 @Mike_Faulk It's Tea Party affiliation.  And adopted symbol of Deplorables. And it is a cool flag. 😀</t>
  </si>
  <si>
    <t>@Mike_Faulk Ok lawful orders. Just curious</t>
  </si>
  <si>
    <t>@Mike_Faulk Serious question honestly. Is there a rule that gives press immunity from orders from law enforcement?  Been curious about that</t>
  </si>
  <si>
    <t>@FOX2now There goes my entertainment for the night 😅😅😅😅😅😅😅😅😅😅😅😅😅😅</t>
  </si>
  <si>
    <t>@LydaKrewson She does not want her base to pull a "pelosi" on her.</t>
  </si>
  <si>
    <t>@stltoday The @slmpd slammed the hammer down on the rioters on Sunday. Notice how there was not any violence last night?   Effective tactics.</t>
  </si>
  <si>
    <t>RT @BreakingNLive: POLL | What did you think about Donald Trumps speech at the United Nations General Assembly today.?</t>
  </si>
  <si>
    <t>@sanwal18 #MAGA!!!!! 🇺🇸🇺🇸🇺🇸🇺🇸🇺🇸🇺🇸🇺🇸</t>
  </si>
  <si>
    <t>RT @daliafierro: .@POTUS: "As President of the United States, I will always put America first." #AmericaFirst UN General Assembly</t>
  </si>
  <si>
    <t>#STL #stlouisprotest #sltverdict https://t.co/ruUdBibfej</t>
  </si>
  <si>
    <t>That oughta be interesting.   Considering everything going on.... https://t.co/ItCzHwWkxD</t>
  </si>
  <si>
    <t>No violence last night? Looks like @SLMPD is doing their job effectively. 👏👏👏  #STLVerdict #stlprotest #Shockleyverdict</t>
  </si>
  <si>
    <t>@SLMPD Maybe it actually stays quiet tonight?</t>
  </si>
  <si>
    <t>@SLMPD Meh,   Let em cry it out.</t>
  </si>
  <si>
    <t>@PDPJ By "our streets", @slmpd is speaking for the law abiding majority of people in our region.   I appreciate their efforts 👏👏👏👏</t>
  </si>
  <si>
    <t>RT @realDonaldTumpr: @realDonaldTrump POLL 🇺🇸💥🇺🇸
Are you thankful the US now has the Presidents travel ban in place to keep us safe?
Vote…</t>
  </si>
  <si>
    <t>@Jai_Sins @SLMPD Yep.    Our county sheriff dept does it all the time.</t>
  </si>
  <si>
    <t>One small detail missed on the headline. Eric Holder made this call last year.  #stl #STLVerdict #Stockley https://t.co/l4E5H1PMCz</t>
  </si>
  <si>
    <t>@stldesktop Clever</t>
  </si>
  <si>
    <t>@BariHakiim Maybe y'all should call it a night and head home #commonsense</t>
  </si>
  <si>
    <t>@1crazystlgal @MissJupiter1957 Darkness falls</t>
  </si>
  <si>
    <t>@StephenKing I enjoyed it, just like your books</t>
  </si>
  <si>
    <t>@Rebelutionary_Z @SLMPD Not according to your stream,  is showed them displaying major restraint.</t>
  </si>
  <si>
    <t>@Rglover37 Being treated like any other person, regardless of gender or race.  Should make BLM happy.</t>
  </si>
  <si>
    <t>RT @satherax: I took my son to the fair and he had fun https://t.co/Kk3mGjL1Qq</t>
  </si>
  <si>
    <t>@KMOV That GIF makes me chuckle every time I see it. 😅😅😅😅😅😅. #MAGA!!! 🇺🇸🇺🇸</t>
  </si>
  <si>
    <t>RT @RealJack: Media would never want you to see Trump supporters of all races happily coming together.
RT to ruin the narrative!
https://…</t>
  </si>
  <si>
    <t>RT @mmadden90: Small group of PD in riot gear have appeared on Delmar and Leland #STL https://t.co/A7bn7Mtm8B</t>
  </si>
  <si>
    <t>@KaleyJohnson6 And @realDonaldTrump is still their president.</t>
  </si>
  <si>
    <t>@Rglover37 My guess is she refused to comply with orders from a law enforcement officer.</t>
  </si>
  <si>
    <t>@stltoday What's next, billy Joel?</t>
  </si>
  <si>
    <t>Standing with #MOAR.  #MAGA🇺🇸🇺🇸🇺🇸🇺🇸🇺🇸</t>
  </si>
  <si>
    <t>@daveixd @lilie23lilie @U2 Well that is one side of the story......</t>
  </si>
  <si>
    <t>@ksieck5 @U2 Your cars would have been toast.</t>
  </si>
  <si>
    <t>RT @theoptionoracle: NFL In Panic Mode after list is published. Be sure to RETWEET this story to get it circulating. @realjameswoods https:…</t>
  </si>
  <si>
    <t>@jesuisunebanane A heroin dealer right ?</t>
  </si>
  <si>
    <t>Make America Great Again.   #My4WordTurnOn</t>
  </si>
  <si>
    <t>@DonGordon5 Was she ordered to disperse?</t>
  </si>
  <si>
    <t>@FOX2now Liberals be like ....oops 😅😅😅😅😅😅😅😅</t>
  </si>
  <si>
    <t>That is ironic since U2 is a liberal band 😅😅😅😅. #STLVerdict https://t.co/vqUryN3nkK</t>
  </si>
  <si>
    <t>Good Morning protestors.  #JasonStockley is still acquitted and @realDonaldTrump is still your president. Have a great day! 😀🇺🇸 #STLVerdict</t>
  </si>
  <si>
    <t>@FOX2now Give them an inch....</t>
  </si>
  <si>
    <t>@SLMPD In a hospital zone?????😡</t>
  </si>
  <si>
    <t>@rachelz971 @jallman971 @tonycolombo971 @carps Great coverage today!!</t>
  </si>
  <si>
    <t>@iamrenitamarie Pastor hahahah😅😅😅😅😅😅😅</t>
  </si>
  <si>
    <t>@PenofUmar That what y'all are hoping for?</t>
  </si>
  <si>
    <t>So  #JasonStockley took out a heroin dealer....   Judge makes a good point.</t>
  </si>
  <si>
    <t>@STLLawyer Looks legit to me. Law is a funny thing</t>
  </si>
  <si>
    <t>#StockleyVerdict not guilty</t>
  </si>
  <si>
    <t>Wow.  Seems like a legit source https://t.co/EQ032YIZlR</t>
  </si>
  <si>
    <t>@971FMTalk @jallman971 Perched over 141 and I64 at work. Seeing more MSHP heading east.  A few command/SWAT type vans also.</t>
  </si>
  <si>
    <t>@STL_Blonde @KMOV My commute is on 270 in west county so should not be an issue.</t>
  </si>
  <si>
    <t>RT @VentonBlandinTV: Workers put up boards at 3 #STL area @sprint stores ahead of potential protests related to judge's announcement of #Ja…</t>
  </si>
  <si>
    <t>@stlCupofJoe Which schools? I heard bishop duberg.  Any others?</t>
  </si>
  <si>
    <t>@jettloe One bit of mis info.  #slu is not closing tomorrow</t>
  </si>
  <si>
    <t>RT @jettloe: Will #jasonstockley be found not guilty? Al Watkins, lawyer for  Anthony Lamar Smith fiancé, gives his fiery opinion at press…</t>
  </si>
  <si>
    <t>@jettloe His logic make sense and he is close to the case.</t>
  </si>
  <si>
    <t>RT @WeWantTrump2020: It would be a real embarrassment for @HillaryClinton if this image got retweeted all over Twitter... https://t.co/5uqx…</t>
  </si>
  <si>
    <t>@mcbridetd Are you kidding me? Pandering to the rioters pushed race relations back 30 years.</t>
  </si>
  <si>
    <t>Not seeing any national interest in the  #Stockley case.  No chatter from outside groups.</t>
  </si>
  <si>
    <t>@jettloe Think he knows what the verdict is going to be?</t>
  </si>
  <si>
    <t>@sdkstl What are the chances that the mayor and governor know the verdict already?</t>
  </si>
  <si>
    <t>Interesting.... https://t.co/iz6Q2yt0Qr</t>
  </si>
  <si>
    <t>Thank you @EricGreitens for proactively activating that national guard before #Stockley verdict. 👏👏👏</t>
  </si>
  <si>
    <t>@CNN Makes our exports more attractive.  Jobs jobs jobs #MAGA!!!!🇺🇸🇺🇸🇺🇸</t>
  </si>
  <si>
    <t>Congress is a thorn in our side. We turn the tide in 2018 people, out with #RINOs and Dems, in with #MAGA!!!   🇺🇸🇺🇸🇺🇸🇺🇸🇺🇸</t>
  </si>
  <si>
    <t>I stand with @realDonaldTrump.  Nothing wrong with a little negotiation.  #DACADeal is being blown out of proportion. #MAGA!!!🇺🇸🇺🇸🇺🇸</t>
  </si>
  <si>
    <t>There is a glitch in the Matrix today...😅😅😅 https://t.co/kVTVrn96Dh</t>
  </si>
  <si>
    <t>@beckystlouis @TheKirkwoodCall Black lives matter protestors. (Idiots)</t>
  </si>
  <si>
    <t>@Rebelutionary_Z Saw it.  SUV had right of way. Why are you protesting in kirkwood anyways?</t>
  </si>
  <si>
    <t>@ummmno21 I think Timothy is triggered...</t>
  </si>
  <si>
    <t>@PenofUmar @EricGreitens Timing has to do with Cardinal Games. No verdict till they leave.  (Friday)</t>
  </si>
  <si>
    <t>#ClimateSilence #ClimateSilence 2006-2016 only two major hurricanes ???  Yep it has been very quiet 😅😅😅</t>
  </si>
  <si>
    <t>I am guessing that the  #JasonStockley verdict comes out after the Cardinals homestand is finished.</t>
  </si>
  <si>
    <t>What Happened??? WE HAPPENED!!!  Best regards -the #Deplorables #WhatHappened https://t.co/dbLekV8tmS</t>
  </si>
  <si>
    <t>RT @Move_Fwd: #WhatHappened @HillaryClinton you were an EPIC FAILURE as SOS  &amp;amp;NY Senator - did you seriously think you could handle being P…</t>
  </si>
  <si>
    <t>#WhatHappened?  #MAGA happened. Hillary done got TRUMPED!!!   🚂🚃🚃🚃🚃🇺🇸💨</t>
  </si>
  <si>
    <t>The clergy threatening the judge reminds me of the Pharisees strongarming Pilate.  @971FMTalk @jallman971</t>
  </si>
  <si>
    <t>@joelcurrier What is an en banc meeting?</t>
  </si>
  <si>
    <t>@toddstarnes @MissAmericaOrg @realDonaldTrump Does anyone actually watch these things anymore?</t>
  </si>
  <si>
    <t>Just got back from dropping my oldest off at school on my day off. Turned on news to see second plane hit live.  #wherewereyou</t>
  </si>
  <si>
    <t>RT @PoliticalShort: The twin towers on the night of September 10, 2001. 16 years. #NeverForget https://t.co/VHlpZvIjcV</t>
  </si>
  <si>
    <t>@Pal4Trump @Corrynmb Tampa</t>
  </si>
  <si>
    <t>Hang in anna maria island praying for y'all.  🙏🙏🙏🙏</t>
  </si>
  <si>
    <t>RT @Ingvald1: Hurricane #Irma sucks away Tampa Bay water | https://t.co/fuTcZDPLYI</t>
  </si>
  <si>
    <t>@whithaynes07 I am an avid reader of Stephen King and I thought it was a great adaptation.</t>
  </si>
  <si>
    <t>Hey. @StephenKing  this @realDonaldTrump supporter is watching IT tonight.  Have a beer on my royalties &amp;amp; raise a glass to @POTUS #Maga!!🤡🇺🇸</t>
  </si>
  <si>
    <t>Did #HurricaneIrma miss her turn. West of track for sure https://t.co/PhE3S8NfBt</t>
  </si>
  <si>
    <t>@Timshel_Way This is the storm that Tampa has been fearing for decades.</t>
  </si>
  <si>
    <t>@EW He does not speak for me.</t>
  </si>
  <si>
    <t>@HashtagGriswold @sherry1975 😅😅😅😅😅😅😅😅😅😅😅😅</t>
  </si>
  <si>
    <t>@GarySzatkowski @FlanaganNJTV Area of storm surge increases as well</t>
  </si>
  <si>
    <t>RT @JulianSvendsen: @realDonaldTrump Do you support our POTUS?
VOTE &amp;amp; RETWEET TO REACH MORE PEOPLE.</t>
  </si>
  <si>
    <t>Listening to Wallace @jallman971 He is failing to see the bigger picture</t>
  </si>
  <si>
    <t>Appears that  #IrmaHurricane2017 went through an eyewall replacement cycle last night. Cat 4 but looks to be strengthening.</t>
  </si>
  <si>
    <t>RT @realDonaldTrump: I encourage EVERYONE in the path of #HurricaneIrma to heed the advice and orders of local &amp;amp; state officials! https://t…</t>
  </si>
  <si>
    <t>@mechisian @JoelNihlean @EricHolthaus Good point.  I was in Tampa during Andrew. Barely felt him. Irma could hit both Miami and Tampa hard.</t>
  </si>
  <si>
    <t>"Trump jr." #nothingburger</t>
  </si>
  <si>
    <t>@NancyPelosi Give us our wall, healthcare reform and tax breaks....</t>
  </si>
  <si>
    <t>This guy 👇failed civics 101 #maga https://t.co/ZQX8d4rdaj</t>
  </si>
  <si>
    <t>RT @jbirdinga: We aren't Globalists, we are Americans
We have a POTUS who puts America First
Together we will #MAGA 
#WeAreOne 🇺🇸
#StandAsO…</t>
  </si>
  <si>
    <t>Omg This thread...... LOL ROFL 😅😅😂😂😅😅😅  #MAGA!!!🇺🇸🇺🇸🇺🇸🇺🇸 https://t.co/f8MpwgSq7B</t>
  </si>
  <si>
    <t>@spann Not missing a beat is she......   wow</t>
  </si>
  <si>
    <t>@KVWNActionNews I am happy that he is making things happen #MAGA!!!!🇺🇸🇺🇸🇺🇸</t>
  </si>
  <si>
    <t>@toddstarnes Plan B until 2018.</t>
  </si>
  <si>
    <t>RT @RepJasonSmith: Headed to the @USHouse floor, fighting for my legislation that will keep $56.5 BILLION dollars out of the hands of #Sanc…</t>
  </si>
  <si>
    <t>@RepJasonSmith @USHouse Most of your constituents in southeast Missouri appreciate your efforts.  No funds for sanctuary citys!!!🇺🇸🇺🇸🇺🇸 #MAGA!!!</t>
  </si>
  <si>
    <t>#Jose = fish storm.</t>
  </si>
  <si>
    <t>@CrankyMaddog I'm good😎</t>
  </si>
  <si>
    <t>@CassandraRules Well getting some exercise never hurts.....</t>
  </si>
  <si>
    <t>@canadajoe1 #4dchess   we'll just have to see how well this tweet ages. #MAGA!!! 🇺🇸🇺🇸🇺🇸</t>
  </si>
  <si>
    <t>@MariaLacey68 @GOP Loving it!  Trump train full speed ahead! Nice to see some Dems hop aboard !                  🚂🚃🚃🚃💨🇺🇸</t>
  </si>
  <si>
    <t>@AMillennialMind Unfortunately the esteemed senator from Maine, Alaska and Arizona fails to see that. Therefore plan B for one year</t>
  </si>
  <si>
    <t>Well @jallman971 nails it again. @POTUS is reaching across the aisle...   was going to happen eventually. #trustTrump! 🇺🇸🇺🇸🇺🇸</t>
  </si>
  <si>
    <t>@canadajoe1 I'm good. 😎 🇺🇸🇺🇸🇺🇸</t>
  </si>
  <si>
    <t>@PolkCoSheriff Gotta stand with the liberals on this one. Wrong call sheriff.</t>
  </si>
  <si>
    <t>@CassandraRules #4dchess. Enjoy the ride https://t.co/BEDu4GjM7W</t>
  </si>
  <si>
    <t>Liberals are acting like  #IrmaHurricane is the only storm to ever hit cat 5.  #climatechangeisnot real.</t>
  </si>
  <si>
    <t>@Wise_Owl_Trader @TTrogdon @chrislhayes You don't build below sea level in Florida. Just saying</t>
  </si>
  <si>
    <t>@TTrogdon A perfect buzzsaw</t>
  </si>
  <si>
    <t>@jallman971 @TrumpChess @Alyssa_Milano She was also Arnold Schawzeneger's  daughter in commando....</t>
  </si>
  <si>
    <t>@Breaking911 I am unschooled in such things but maybe take the cranes down. Or not enough time?</t>
  </si>
  <si>
    <t>RT @ImpeachPOTUS: Of the last 4, which is your favorite President</t>
  </si>
  <si>
    <t>@xclusiv_23 Trump 2020.</t>
  </si>
  <si>
    <t>Ending #daca preserves our constitution.   Congress passes laws.  Let them decide on it. #maga🇺🇸🇺🇸🇺🇸</t>
  </si>
  <si>
    <t>That's my President. #prayforTrump #maga https://t.co/Wvc4nEZopJ</t>
  </si>
  <si>
    <t>RT @PennStateIFC: With the current devastation in Houston, we are pledging $0.15 for every RT this gets! Please forward this along to help…</t>
  </si>
  <si>
    <t>#JobsReport does not include all the paid protesters</t>
  </si>
  <si>
    <t>@SpinDr Still not buying it.  No major canes for the past 12 years. Nature is just balancing out.</t>
  </si>
  <si>
    <t>@mrrsmithuk 😅😅😅😅😅😅😅😅😅😅</t>
  </si>
  <si>
    <t>The dip to the south that #Irma is forecast to take is not a good sign.</t>
  </si>
  <si>
    <t>@TheOnlyKAVIN @hannahbrashers I must admit that these protesters did it with class.   Honoring our flag and whatnot.  Shows we can coexist. Life is good in the Ozarks.</t>
  </si>
  <si>
    <t>@imtallpaul @stltoday @POTUS @FLOTUS 😅</t>
  </si>
  <si>
    <t>Welcome to the show me state Mr President!!!! 🇺🇸👏🇺🇸👏🇺🇸👏🇺🇸👏🦅🦅🦅🦅🦅🦅🦅@realDonaldTrump</t>
  </si>
  <si>
    <t>@xshularx Just wondering.  Check out the messages on your way back to St. Louis. Around Lebanon. Farmers have some great signs in their fields😅🇺🇸</t>
  </si>
  <si>
    <t>@imtallpaul @stltoday @POTUS @FLOTUS Springfield is in SW Missouri genius.</t>
  </si>
  <si>
    <t>Why we won #redstate @jallman971 #maga https://t.co/3gw755kcZT</t>
  </si>
  <si>
    <t>RT @SebGorka: Want 2 know where "Cajun Navy" came from? It's made up of #TheDeplorables.
This is America. And this is why #HatefilledHilla…</t>
  </si>
  <si>
    <t>@SpeakerTimJones @realDonaldTrump @jallman971 @AllmanReport How many supporters? Media is only focusing on protestors</t>
  </si>
  <si>
    <t>@xshularx How was your bus ride from St. Louis?</t>
  </si>
  <si>
    <t>@redbird72144 @maddow @Lawrence @benwikler @IndivisibleTeam They look tired after their 4 hour drive.</t>
  </si>
  <si>
    <t>@KDNLABC30 Lottaporloosers.   😅😅😅😅😅😅😅😅</t>
  </si>
  <si>
    <t>@SecretService https://t.co/36dlmNfRjo</t>
  </si>
  <si>
    <t>RT @Cardinals: .@MattCarp13 raised a ton of money for Houston with one swing of the bat! #HomerunRelief 
Recap: https://t.co/1T6rNBHiU0 ht…</t>
  </si>
  <si>
    <t>@jallman971 Welcome to God's country! #springfield. You wanna see something awesome? Drive down to College of the Ozarks south of Branson 🇺🇸</t>
  </si>
  <si>
    <t>@realDonaldTrump Not one more penny to them! #maga #americafirst</t>
  </si>
  <si>
    <t>@NancyPelosi gotta give credit when it is due. Thank you for calling out #Antifa 👏👏👏👏👏👏</t>
  </si>
  <si>
    <t>@JackPosobiec She almost has a point but there is an exception to every rule/belief.</t>
  </si>
  <si>
    <t>@CerberusXXO @washingtonpost Rather be a deplorable than a liberal. #maga</t>
  </si>
  <si>
    <t>RT @RealJamesWoods: This #AntifaGoon screamed she didn't want her picture taken while being arrested. Please respect her privacy. Do not re…</t>
  </si>
  <si>
    <t>#IfFootballDidntExist as far is I am concerned it doesn't at the professional level. #boycottNFL 🇺🇸🇺🇸🇺🇸</t>
  </si>
  <si>
    <t>@SecretService https://t.co/NLbqWjY8Je</t>
  </si>
  <si>
    <t>@toddstarnes @JoelOsteen I'm not sure that Joel Osteen's teaching can be equated to Christianity.  How can the salvation be taught with no mention of sin?</t>
  </si>
  <si>
    <t>@CassandraRules Proud member of the #MAGA party</t>
  </si>
  <si>
    <t>@rimtoth Visited there a couple of weeks ago. First sirens I heard startled me, then I realized it was just an ambulance</t>
  </si>
  <si>
    <t>@hikam_dahir They had that coming.  Millions more would have died if we had to invade Tokyo.</t>
  </si>
  <si>
    <t>Most of us on the right wing rejected Joel Osteen and his fake gospel years ago.  The man is a charlatan. Nothing like his dad.</t>
  </si>
  <si>
    <t>@sarahkendzior Whose side are you on? USA or NK???</t>
  </si>
  <si>
    <t>RT @gollum1419_g: So Joel Osteen refuses to open his megachurch to Houston's flood victims. He's all prosperity and no gospel. #HoustonStro…</t>
  </si>
  <si>
    <t>Where do I even begin..... #MorningCommutePeeves</t>
  </si>
  <si>
    <t>@RepJasonSmith @RoyBlunt @clairecmc time to do something about this.🇺🇸 @971FMTalk https://t.co/xL9ettm8Ua</t>
  </si>
  <si>
    <t>@RoyBlunt @clairecmc @RepJasonSmith   Time to do something about this. 🇺🇸 @971FMTalk https://t.co/qDmVlFQmSY</t>
  </si>
  <si>
    <t>RT @clearspot709: There is a point of no return. 
They have reached it. 
Prepare accordingly. https://t.co/pYhovLTLY9</t>
  </si>
  <si>
    <t>@MinnPatriot @sherry1975 I do believe that the #altleft overplayed their hand this weekend.</t>
  </si>
  <si>
    <t>@AnneFrankCenter 6 lies in one post. Your fake organization is upping its game.</t>
  </si>
  <si>
    <t>@AlexTaylor1988 @LorenCookCo Good luck with that. Private event,  y'all won't get within a mile.</t>
  </si>
  <si>
    <t>@KimWSMV Stack the deck against Antifa. 👏👏👏👏🇺🇸</t>
  </si>
  <si>
    <t>@washingtonpost Thank you WAPO.</t>
  </si>
  <si>
    <t>I don't care about your political leaning, #HoustonStrong is making America proud.  Praying for you folks, will see what else I can do 🇺🇸👏👏</t>
  </si>
  <si>
    <t>@sarahkendzior Well we do have altleft mobs terrorizing the streets in Berkeley as we tweet so......</t>
  </si>
  <si>
    <t>@PoliticalShort @kcranews These skirmishes mark the beginning of the 2nd American Civil War.</t>
  </si>
  <si>
    <t>Fascism strong in Berkeley.  (Fixed it for you) https://t.co/pCVFuDBYMx</t>
  </si>
  <si>
    <t>Fascism wins! Free speech, law and order loses. https://t.co/XAGfGXd58a</t>
  </si>
  <si>
    <t>Hey #resist. Proud of this? https://t.co/VcI1VJciBh</t>
  </si>
  <si>
    <t>@sarahkendzior Blah blah blah</t>
  </si>
  <si>
    <t>@ragtubers Wow that is intense.</t>
  </si>
  <si>
    <t>@Impeach_DJT_NOW @Transniqqa @Patricia_DSC @realDonaldTrump You are wrong.  Head of FEMA was appointed a while back. Nice try though....</t>
  </si>
  <si>
    <t>Be careful hunting monsters, lest you become one #sfrally #altleft #fascist #hypocrites</t>
  </si>
  <si>
    <t>@rchakras Why does San Francisco hate prayer?  Thought y'all were tolerant.</t>
  </si>
  <si>
    <t>@JBP1995 Usually the case. Alt left is fascist.</t>
  </si>
  <si>
    <t>@sarahkendzior It was a set up.  Thank your deep state.</t>
  </si>
  <si>
    <t>@realDonaldTrump A real leader emerges.</t>
  </si>
  <si>
    <t>Hey @sarahkendzior now whatcha going to complain about? https://t.co/ncgyA9r63H</t>
  </si>
  <si>
    <t>RT @CharlieDaniels: note to activist trying to shut down Dolly Parton's Dixie Stampede
Dolly does more good in one day than u will in your…</t>
  </si>
  <si>
    <t>@HAPLESSTOAD FEMA has a director.</t>
  </si>
  <si>
    <t>@DaTwilightZone How many atheists would be offended if he said "thoughts and prayers".  No making your side happy.</t>
  </si>
  <si>
    <t>@EricGreitens can you have the national guard on standby???  #resisttheresistance https://t.co/rswFFGEgpi</t>
  </si>
  <si>
    <t>@FEMA_Brock ERC complete. This thing a cat 3 yet?</t>
  </si>
  <si>
    <t>@AllmanReport @POTUS The heart of God's country.  Antifa better sit this one out.</t>
  </si>
  <si>
    <t>@sarahkendzior So you'll be ok with it if he waits a week?</t>
  </si>
  <si>
    <t>@charlesjaco1 Your bias is showing,  thought you were a journalist.</t>
  </si>
  <si>
    <t>@BrendaGremli @TeaPainUSA @realDonaldTrump 😅😅😅😅😅😅😅😅😅😅😅😅😅😅😅😅😅😅😅😅😅😅😅😅😅😅😅😅😅😅😅😅😅😅😅😅😅😅😅😅😅😅😅😅😅😅😅😅😅😅😅😅😅😅😅😅😅😅😅😅😅😅😅😅😅</t>
  </si>
  <si>
    <t>@MrsWhosit @TeaPainUSA @realDonaldTrump I think #Antifa would be wise to sit this one out.  This is the heart of #MAGA🇺🇸🇺🇸🇺🇸🇺🇸🇺🇸🇺🇸🇺🇸🇺🇸🇺🇸🇺🇸🇺🇸🇺🇸🇺🇸🇺🇸🇺🇸🇺🇸🇺🇸🇺🇸🇺🇸🇺🇸🇺🇸🇺🇸🇺🇸🇺🇸🇺🇸🇺🇸🇺🇸🇺🇸🇺🇸🇺🇸🇺🇸</t>
  </si>
  <si>
    <t>Trump is no RINO. Fixed is for ya.  #maga #americafirst #allAmericansmatter https://t.co/z2jUNQIgCt</t>
  </si>
  <si>
    <t>Must say that Chris Wallace's interview contained some nuggets of wisdom. Some tough pills to swallow. @971FMTalk @jallman971</t>
  </si>
  <si>
    <t>@971FMTalk @jallman971 But she has brought the problem of wolf infested theaters to the forefront. Important stuff!!!😅</t>
  </si>
  <si>
    <t>@seanhannity @GovMikeHuckabee Awesome monologue!!!</t>
  </si>
  <si>
    <t>#SupportFellowProgressives.            1.lower taxes.  2 end affirmative action. 3 protect #2A. 🚫👣🐍</t>
  </si>
  <si>
    <t>#SupportFellowProgressives. #buildthewall #americafirst #maga!!!</t>
  </si>
  <si>
    <t>Hey #MAGA!!  You know what to... have fun!😅🇺🇸🇺🇸🇺🇸🇺🇸🇺🇸🇺🇸 https://t.co/gLhi3hYIsw</t>
  </si>
  <si>
    <t>@DRUDGE_REPORT You know, when we have a twister coming at in Missouri we don't wait for the president to give us instructions #CommonSense</t>
  </si>
  <si>
    <t>@AshleyElizabeth Our local reenactment happens once every three years.  Good times.</t>
  </si>
  <si>
    <t>Just so y'all know. @potus did appoint a director to FEMA back in June. @FEMA_Brock. So knock off the #fakenews   Prayers 4 Texas  #Harvey</t>
  </si>
  <si>
    <t>@MIMIUSAEU @BrendanNyhan Wrong. He does.</t>
  </si>
  <si>
    <t>@RussellFnTX @JohnCornyn @chiefkidd @FEMA_Brock Do you even read the tweets you are replying to? 😅😅😅</t>
  </si>
  <si>
    <t>@WhyAsk65 @ABC You may want to do a little research.....</t>
  </si>
  <si>
    <t>@marinmaven @_mamadeb 16 years or so....</t>
  </si>
  <si>
    <t>@RogueGinger99 @fema @realDonaldTrump Yes.</t>
  </si>
  <si>
    <t>@taralynn1272 Sure we do.  (Hint google is your friend.)</t>
  </si>
  <si>
    <t>@randypinball @CNN @MSNBC @maddow Actually we do. Google it.</t>
  </si>
  <si>
    <t>@connieshermandm @EricHolthaus The current director has 16 years experience in Emergency Experience.</t>
  </si>
  <si>
    <t>@cecilia45301471 @NPR Brock Long.</t>
  </si>
  <si>
    <t>@MarjorieLynnWe3 @realDonaldTrump Brock Long was appointed in June.</t>
  </si>
  <si>
    <t>@_L0VE22_ @XavierDLeau Incorrect. Brock Long confirmed in June</t>
  </si>
  <si>
    <t>@TheAlabamaBeard Yep, just looked it up</t>
  </si>
  <si>
    <t>@PPact  https://t.co/gz4gGiyvWZ</t>
  </si>
  <si>
    <t>@Susan_Hennessey @sarahkendzior 😅😅😅😅😅</t>
  </si>
  <si>
    <t>We're journalists ? https://t.co/zmLcPIO0kJ</t>
  </si>
  <si>
    <t>RT @JulianSvendsen: @realDonaldTrump Do you support our POTUS?      (Retweet after voting!😀)</t>
  </si>
  <si>
    <t>America will be great again 🇺🇸🇺🇸🇺🇸🇺🇸🇺🇸🇺🇸🇺🇸🇺🇸🇺🇸🇺🇸🇺🇸🇺🇸🇺🇸🇺🇸🇺🇸🇺🇸🇺🇸🇺🇸🇺🇸🇺🇸🇺🇸🇺🇸🇺🇸🇺🇸🇺🇸🇺🇸🇺🇸🇺🇸🇺🇸🇺🇸🇺🇸🇺🇸🇺🇸🇺🇸🇺🇸🇺🇸🇺🇸🇺🇸🇺🇸🇺🇸🇺🇸🇺🇸🇺🇸🇺🇸🇺🇸🇺🇸 #OurFutureIn5Words</t>
  </si>
  <si>
    <t>RT @timringTV: Protester kicks tear gas back at police.  Police shoot him with a rubber bullet on live TV.  VIDEO: https://t.co/5qyHDZlpNF</t>
  </si>
  <si>
    <t>#RootOutRacism https://t.co/WkOxfnqhmb</t>
  </si>
  <si>
    <t>Ban #BLM and #Antifa!!!!!!#RootOutRacism</t>
  </si>
  <si>
    <t>@marcorubio Considering the fact that our president does not drink.  Not sure where you are going with this....</t>
  </si>
  <si>
    <t>@sarahkendzior Curious if you even know the context of this scripture???</t>
  </si>
  <si>
    <t>@ACLUNV He did last night....</t>
  </si>
  <si>
    <t>@Evan_McMullin 😅😅😅😅😅😅😅😅😅😅😅 https://t.co/UOu6jfikg4</t>
  </si>
  <si>
    <t>RT @McNaughtonArt: My new Trump painting. See the video at: https://t.co/iHyp9aBiRG #JonMcNaughton https://t.co/nz1K7v2ufK</t>
  </si>
  <si>
    <t>@971FMTalk @jallman971 No we do not "deserve" to know the number and timing of any troop deployments.</t>
  </si>
  <si>
    <t>@971FMTalk @jallman971 The shot felt around the world.  Hahaha😅😅😅😅</t>
  </si>
  <si>
    <t>@maggieNYT A fair generalization.</t>
  </si>
  <si>
    <t>More coal mines opening!  Jobs jobs jobs  #PhoenixRally</t>
  </si>
  <si>
    <t>RT @GOPInsideher: #PhoenixRally</t>
  </si>
  <si>
    <t>Liberals are crying "This is madness". No, THIS IS #MAGA!!!!!! 🇺🇸🇺🇸🇺🇸 #PhoenixRally</t>
  </si>
  <si>
    <t>@mcbyrne Yeah,  we are going to fix that in 2018</t>
  </si>
  <si>
    <t>RT @AmericanMex067: Not only is our movement fine, it's getting STRONGER. #MAGA
#PhoenixRally</t>
  </si>
  <si>
    <t>Watching the left freak out on twitter is half the fun of the #PhoenixRally</t>
  </si>
  <si>
    <t>I guess alt left realized that they are outnumbered tonight.  #PhoenixRally</t>
  </si>
  <si>
    <t>@michaelbeatty3 @CharlesRecords0 Stokes is 100% Dem!</t>
  </si>
  <si>
    <t>@lourdestovar @TEN_GOP @ThePatriot143 That's their right.</t>
  </si>
  <si>
    <t>@ksdknews Farmington goes two for two!!!!!</t>
  </si>
  <si>
    <t>Trump trumps all!!!! #maga #PhoenixRally https://t.co/Q1vICIsFFS</t>
  </si>
  <si>
    <t>#PhoenixRally @potus meet us in St Louis next!!!! #MAGA !!!🇺🇸🇺🇸🇺🇸</t>
  </si>
  <si>
    <t>@SecretService  FYI. https://t.co/P56cbuOJL2</t>
  </si>
  <si>
    <t>@freeloosedirt Throwing urine at cops?  Yep. Classy. #whytrumpwon. #maga</t>
  </si>
  <si>
    <t>@MayorStanton Piece of advice....Don't give Antifa terrorist an inch.</t>
  </si>
  <si>
    <t>@Acosta Actually, no we do not.</t>
  </si>
  <si>
    <t>RT @mitchellvii: When a leader changes their mind based upon new information, that's not a flip-slop, that's leadership.</t>
  </si>
  <si>
    <t>@HeideggerFan We don't want details. We want results.</t>
  </si>
  <si>
    <t>RT @thebradfordfile: POLL: Would you like to see @Alyssa_Milano stay out of politics?</t>
  </si>
  <si>
    <t>@AP4Liberty I think you just lost my support for the primary.....</t>
  </si>
  <si>
    <t>RT @realDonaldTrump: Address to the Nation
Full Video &amp;amp; Transcript:
https://t.co/FELdImTuUM https://t.co/6ly3fNatiX</t>
  </si>
  <si>
    <t>My town was in the path of totality for #eclipse2017 and it will be gain for #Eclipse2024</t>
  </si>
  <si>
    <t>@sarahkendzior That we can agree on. Unbelievable.!!!</t>
  </si>
  <si>
    <t>Loving it in Farmington Mo!!! #SolarEclipse2017</t>
  </si>
  <si>
    <t>In the path of totality.  Not as cloudy as I feared.  #Eclipse2017</t>
  </si>
  <si>
    <t>@JeffVandenengel Very busy there (as you know ) https://t.co/rqmi54yg6z</t>
  </si>
  <si>
    <t>Crossed the Singapore straight two weeks ago via fast ferry.  Never saw so many ships in my life. #USSJohnSMcCain https://t.co/LMemxAw7f0</t>
  </si>
  <si>
    <t>RT @RealJamesWoods: Check out the #rapist statue of your Dad. Trust me, he was Lucifer to the women he abused. https://t.co/IkF1brxsQe</t>
  </si>
  <si>
    <t>@Alyssa_Milano @andilnx Poll. Would you like to see @alyssa_milano delete her account?.....</t>
  </si>
  <si>
    <t>RT @Alyssa_Milano: POLL: Would you like to see #TrumpResign?</t>
  </si>
  <si>
    <t>@_Makada_ The have a looonnnggg 7 1/2 years ahead of them.</t>
  </si>
  <si>
    <t>@W7VOA @POTUS @WhiteHouse Quiet fake news</t>
  </si>
  <si>
    <t>@sarahkendzior Yet he lives in your head rent free 24/7...</t>
  </si>
  <si>
    <t>More winning #MAGA!!! https://t.co/h8osa3xpSe</t>
  </si>
  <si>
    <t>@Trumpfan1995 @ArareJ3M Cruz. But jumped on the trump train the day we won nomination. (Looking back I should have jumped on much earlier.)</t>
  </si>
  <si>
    <t>@DLoesch #ChildrenOfSoros does.</t>
  </si>
  <si>
    <t>@Wanderlust_miss Ours cancelled.</t>
  </si>
  <si>
    <t>Living on #PathOfTotality. Just hoping clouds stay out of southeast mo tmmw.</t>
  </si>
  <si>
    <t>@CassandraRules #4dchess #trustTrump</t>
  </si>
  <si>
    <t>Hey #resist  what the hell is your malfunction?  #maga https://t.co/vzE86eHJBS</t>
  </si>
  <si>
    <t>@bostonpolice Antifa is the real hate today. As always</t>
  </si>
  <si>
    <t>@Alyssa_Milano Alt-left is violent.</t>
  </si>
  <si>
    <t>@duboff Then why are y'all rioting?</t>
  </si>
  <si>
    <t>RT @LtStevenLRogers: Boston Police doing excellent job maintaining order. Let's keep them in our prayers. Men &amp;amp; Women in blue are our heroe…</t>
  </si>
  <si>
    <t>@IvankaTrump On the path of totality.   #maga!!!</t>
  </si>
  <si>
    <t>#fightsupremacy is today's code word for alt-left &amp;amp; Antifa. Another euphemism for violence.  Be careful today patriots #BlueLivesMatter</t>
  </si>
  <si>
    <t>Hate That Doesn't Hide.  That would be the alt-left and Antifa. America is waking up and we will stand against left wing hatred. #maga 🇺🇸🇺🇸🦅 https://t.co/eTX2XHAMEY</t>
  </si>
  <si>
    <t>RT @realDonaldTrump: I want to thank Steve Bannon for his service. He came to the campaign during my run against Crooked Hillary Clinton -…</t>
  </si>
  <si>
    <t>@AP4Liberty Let's just focus on getting you to Washington.  @realDonaldTrump is going to need you.</t>
  </si>
  <si>
    <t>RT @Lrod49: @jojoh888 @Miami4Trump @POTUS #IStandWithTrump #IStandWithTrump #IStandWithTrump #IStandWithTrump #IStandWithTrump #IStandWithT…</t>
  </si>
  <si>
    <t>So the #altleft plays while #MAGA works..  nice.  #DefendDurham 👈joke</t>
  </si>
  <si>
    <t>#BannonOut #IStandWithTrump</t>
  </si>
  <si>
    <t>#IStandWithTrump always!!!!! #maga 🇺🇸🇺🇸🇺🇸🇺🇸🇺🇸🇺🇸🇺🇸</t>
  </si>
  <si>
    <t>RT @mitchellvii: For all those hoping to blame another race because your life sucks, I have unfortunate news. Your life is your fault.</t>
  </si>
  <si>
    <t>@ShomahKhoobi #4dchess</t>
  </si>
  <si>
    <t>happy that I live in the path of totality for #Eclipse2017 😎🌑</t>
  </si>
  <si>
    <t>@KSHE95 @TrumpChess In the mood at 745 pm.   At KSHE tradition!!!</t>
  </si>
  <si>
    <t>#Charlottesville it was a setup https://t.co/ah1qzwEPeg</t>
  </si>
  <si>
    <t>It was a setup !  #itsatrap!!!!! https://t.co/n4oLFi0nxL</t>
  </si>
  <si>
    <t>https://t.co/O2J6GnWwzN More swamp critters out #winning !!!!#Maga!!! 🇺🇸🇺🇸🇺🇸</t>
  </si>
  <si>
    <t>@ImmaBioloG @AliFritters @FoxNews @PastorDScott Not yet. Give 'em another week or two.</t>
  </si>
  <si>
    <t>@AliFritters @FoxNews @PastorDScott We can't,  Liberals are too busy burning them all.</t>
  </si>
  <si>
    <t>@RepJasonSmith @RoyBlunt keep on with #MAGA!!!!</t>
  </si>
  <si>
    <t>@MariaChappelleN Uh St Louis has been dangerous way before President Trump.</t>
  </si>
  <si>
    <t>@MariaChappelleN You are an embarrassment to Missouri.</t>
  </si>
  <si>
    <t>@ehosseh #maga will hijack that one too, just to see the altleft cry 😅😅😅😅😅😅😅😅😅😅</t>
  </si>
  <si>
    <t>I voted for Trump!  We will #MAGA!!!! 🇺🇸🇺🇸🇺🇸🇺🇸🇺🇸🇺🇸🇺🇸🇺🇸🇺🇸🇺🇸🇺🇸🇺🇸🇺🇸🇺🇸🇺🇸🇺🇸🇺🇸🇺🇸🇺🇸🇺🇸🇺🇸🇺🇸🇺🇸🇺🇸🇺🇸🇺🇸🇺🇸🇺🇸🇺🇸🇺🇸🇺🇸🇺🇸🇺🇸🇺🇸🇺🇸🇺🇸🇺🇸🇺🇸🇺🇸🇺🇸🇺🇸🇺🇸🇺🇸🇺🇸🇺🇸🇺🇸🇺🇸🇺🇸🇺🇸🇺🇸🇺🇸</t>
  </si>
  <si>
    <t>@sarahkendzior Sorry that his hatred of terrorist offends you.</t>
  </si>
  <si>
    <t>RT @stltoday: Missouri state senator posts, deletes Facebook post hoping for Trump's assassination https://t.co/xIAvqtw0J0 https://t.co/z7z…</t>
  </si>
  <si>
    <t>RT @joelcurrier: Missouri state senator posts, deletes Facebook post hoping for Trump's assassination https://t.co/SyvP1bXbCS (by @kevinmcd…</t>
  </si>
  <si>
    <t>@RepCohen You are pathetic.</t>
  </si>
  <si>
    <t>RT @Bonlee7294: Choose sides? I choose the side of America! This is what we ALL should be choosing. The people need to unite and stop being…</t>
  </si>
  <si>
    <t>@stltoday No one will know history if liberals have their way.</t>
  </si>
  <si>
    <t>@sarahkendzior @kristiinakello Funny how Potus was never a racist until he ran for office.  Lifetime award from Jesse Jackson and whatnot....</t>
  </si>
  <si>
    <t>@AbbyLlorico @ksdknews Nope. That was one part of his statement that was dead wrong.  Nazis are idiots, so are members of Antifa.</t>
  </si>
  <si>
    <t>@stltoday Thought tearing down those monuments was going to stop this...?</t>
  </si>
  <si>
    <t>RT @davidsonmark650: @stltoday Which one of those red dots is the Post Dispatch? Which one is BLM? Which one represents antifa?</t>
  </si>
  <si>
    <t>@AbbyLlorico @ksdknews #MAGA before party!  We expect nothing less. 🇺🇸🇺🇸🇺🇸🇺🇸🇺🇸🇺🇸🇺🇸</t>
  </si>
  <si>
    <t>RT @JulianSvendsen: @realDonaldTrump Do you support our POTUS?
(Retweet after voting!😀)</t>
  </si>
  <si>
    <t>The Monuments Must Go. Seriously , do y'all even comprehend what you are saying?  Equally pathetic and frightening. Liberal fascists😡😡😡😡😡😡😡</t>
  </si>
  <si>
    <t>Oh no.. Not the Rocky statue...😅😅😅😅😅 #PhillyisCharlottesville</t>
  </si>
  <si>
    <t>Make America Great Again !!!🇺🇸🇺🇸🇺🇸🇺🇸🇺🇸🇺🇸🇺🇸🇺🇸🇺🇸🇺🇸🇺🇸🇺🇸 #BePositiveIn4Words</t>
  </si>
  <si>
    <t>#WhatILearnedToday the left does not like being called out.  #unhinged</t>
  </si>
  <si>
    <t>@clairecmc Rhetoric, however stupid or evil, is protected under the constitution. Antifa disagrees and answers rhetoric with violence.</t>
  </si>
  <si>
    <t>Because we do not like him whaaa!!!😅😅😅😅😅😅😅😅😅 #WhyWeMustImpeachTrumpIn7Words</t>
  </si>
  <si>
    <t>@clairecmc But you are ok with violence from Antifa?   Or are they bad too?</t>
  </si>
  <si>
    <t>RT @SleeplessCanuk: #ImpeachTrump YES OR NO?</t>
  </si>
  <si>
    <t>@HotIcyQuirk @tamarabrock Yes and I hope justice for the driver is swift.</t>
  </si>
  <si>
    <t>@JoshStein_ Watch the video.  You have idiots on both sides.  Not to mention the destroying your state's property</t>
  </si>
  <si>
    <t>@Fffeisty No but I remember the one that shot up a softball field.</t>
  </si>
  <si>
    <t>@ACLU Didn't y'all support the initial right to protest by the nazis?</t>
  </si>
  <si>
    <t>RT @ladygaga: Do you think @realDonaldTrump @POTUS saying "both sides are to blame" in #Charlottesville makes him a racist supporter? Yes o…</t>
  </si>
  <si>
    <t>When the president agrees with the @ACLUVA go figure 🇺🇸</t>
  </si>
  <si>
    <t>@GossiTheDog Tell me where he is wrong.  It takes two to tango</t>
  </si>
  <si>
    <t>God Bless President Trump!  #maga 🇺🇸🇺🇸🇺🇸🇺🇸🇺🇸🇺🇸🇺🇸</t>
  </si>
  <si>
    <t>Great press conference.  Our president called Saturday it like it was.  A brawl between 2 groups of extremists who came looking for a fight</t>
  </si>
  <si>
    <t>@Evan_McMullin You mean the president that smoked you in Utah last November ?</t>
  </si>
  <si>
    <t>@kurteichenwald @moksha1971 Works for me .... #maga!!</t>
  </si>
  <si>
    <t>@KirstenLAlles13 @kurteichenwald Are you assuming my race?   Microaggression. 😱</t>
  </si>
  <si>
    <t>@kurteichenwald But both owned slaves. A triggering point to your average SJW...  not logical but compelling...</t>
  </si>
  <si>
    <t>@kurteichenwald @moksha1971 In other words POTUS is trying to think like a liberal.  Scary isn't it. ?</t>
  </si>
  <si>
    <t>@Kiddi @kurteichenwald But you have to understand the context.</t>
  </si>
  <si>
    <t>@kurteichenwald Both owned slaves.  That was President Trump's point.</t>
  </si>
  <si>
    <t>@tamranyc @splcenter Your flaw in logic is equating #MAGA to the confederacy. It is more tied to 🚫👣🐍 Stormspotter btw, as in weather, tornadoes and what not.</t>
  </si>
  <si>
    <t>@tamranyc Your statement shows that you do not understand #MAGA one bit you bigot..</t>
  </si>
  <si>
    <t>Lincoln Memorial vandalized with red spray paint https://t.co/E84hNStywl.  Gotta love #Antifa.  Losers vandalized the Lincoln Memorial. 😡</t>
  </si>
  <si>
    <t>RT @JulianSvendsen: @realDonaldTrump Do you support our POTUS?
(Retweet after voting!😀)</t>
  </si>
  <si>
    <t>@ayersepiphany2 I am sure books are next. As history shows.</t>
  </si>
  <si>
    <t>Antifa's next target? #Durham @971FMTalk @jallman971 https://t.co/DOEZZ2TO8R</t>
  </si>
  <si>
    <t>@NickMadincea Yep good job,  Isis and the Taliban would be so proud of y'all.</t>
  </si>
  <si>
    <t>@DerrickQLewis Reminds me of Isis</t>
  </si>
  <si>
    <t>@jacremes He could find a cure for cancer and people would still complain</t>
  </si>
  <si>
    <t>Nah,  they just destroy stuff and attack people for speaking their mind.</t>
  </si>
  <si>
    <t>Good Morning @jallman971   Been in Asia🇯🇵🇵🇱🇸🇬🇨🇳 the past 2 weeks. Happy to be back in the USA listening 2 @971FMTalk on my commute 🚗💨 #MAGA</t>
  </si>
  <si>
    <t>https://t.co/abOIcd5mUL POTUS has condemned violence from all sides.  Still crickets from Dems about Antifa</t>
  </si>
  <si>
    <t>@stltoday Try to get to my car and out of the city ASAP.</t>
  </si>
  <si>
    <t>@GeorgeShiber Not following your logic.  A man with your credentials should realize that this has been building for years, not months</t>
  </si>
  <si>
    <t>@ACLUVA @JorgeRecarey Morons from both sides looking for a fight. I guess they got one...</t>
  </si>
  <si>
    <t>@we_shall_win Tell that to the police in Dallas.</t>
  </si>
  <si>
    <t>RT @2Chron169: I voted for this man You may hate me for it but that's ok Oh, btw, I will vote for him again in 2020
Share if you're still o…</t>
  </si>
  <si>
    <t>I support @realDonaldTrump 100% and reject the idea of white supremacy 100%.  The two do not walk hand in hand #MAGA!! 🇺🇸🦅 #Charolettesville</t>
  </si>
  <si>
    <t>@rachelz971 Great horror flick regardless</t>
  </si>
  <si>
    <t>RT @SheriffClarke: Proud of @realDonaldTrump statement condemning violence in Charlottesville. Very Presidential. Didn't take sides like Ob…</t>
  </si>
  <si>
    <t>@stltoday Good thing it is not free bat night a Busch.</t>
  </si>
  <si>
    <t>@clairecmc I agree with your statement 100% Senator. I assume you apply it equally on hate from both extremes of the political spectrum.</t>
  </si>
  <si>
    <t>RT @realDonaldTrump: We ALL must be united &amp;amp; condemn all that hate stands for. There is no place for this kind of violence in America. Lets…</t>
  </si>
  <si>
    <t>RT @mitchellvii: The most violent thing Trump supporters do is pull an election lever and it changed the world.</t>
  </si>
  <si>
    <t>RT @ProgressPolls: Who is a better President of the United States? #ObamaDay</t>
  </si>
  <si>
    <t>RT @DonC085: Do You Support &amp;amp; Will you Vote Trump In 2020? Retweet.#CNNSOTU,#POLITICSNATION,#COVFEFE,#MAGA,#DrainTheSwamp,#TRUMPTRAIN,#Resi…</t>
  </si>
  <si>
    <t>@juliematthews50 @Kwebblittle @jallman971 Snowflakes, not snow. 😀</t>
  </si>
  <si>
    <t>"No Guardrails" Presidency. Call it what you want. I'm loving every minute of it!!! #maga #TRUMP2020 #AmericaFirst https://t.co/89lYrdXRLu</t>
  </si>
  <si>
    <t>RT @CharlieDaniels: male debutante on tv-said rounding up Ms13 is a move against all immigrants 
Like don't go among the garter snakes to k…</t>
  </si>
  <si>
    <t>@sarahkendzior If he does how are you going to put a negative spin on it?</t>
  </si>
  <si>
    <t>@AmbJohnBolton @HotNostrilsrFun With 10 million hostages in Seoul, we will do nothing.</t>
  </si>
  <si>
    <t>@clairecmc Or option B,  #MAGA decimates the Dems and RINOs in 2018 election, then full repeal 🇺🇸🇺🇸🇺🇸🇺🇸</t>
  </si>
  <si>
    <t>@TreyYingst NKs war on Atlantis continues....</t>
  </si>
  <si>
    <t>Meh</t>
  </si>
  <si>
    <t>I think we need to acknowledge that the GOP does not control the senate  the RINOs really give the Dems a 52-48 advantage. @jallman971</t>
  </si>
  <si>
    <t>#FailureFriday laugh it up libs &amp;amp; enjoy your victory in this battle. We won't march, or riot but Dems and RINOs will hear us in 18 #maga!🇺🇸 https://t.co/vosvX6yq9O</t>
  </si>
  <si>
    <t>@SenatorMenendez And the problem with that is?</t>
  </si>
  <si>
    <t>#SkinnyRepeal according to the #Cbo, no one here gets out alive Pass it!</t>
  </si>
  <si>
    <t>@Cernovich MAGA!!!🇺🇸🇺🇸🇺🇸🇺🇸🇺🇸</t>
  </si>
  <si>
    <t>RT @JoshNoneYaBiz: I'll take any repeal we can get, it beats having FORCED healthcare. 
#SkinnyRepeal</t>
  </si>
  <si>
    <t>@CassandraRules Rather see full repeal, but better than nothing. Let's do this!!!</t>
  </si>
  <si>
    <t>RT @VPPressSec: .@VP Mike Pence has arrived at the US Capitol.</t>
  </si>
  <si>
    <t>@clairecmc Y'all should have negotiated to fix instead of stonewalling folks across the aisle.</t>
  </si>
  <si>
    <t>@FantsyChillpony @periphery360 @SenateGOP Odd..   that is exactly how I view the ACA.</t>
  </si>
  <si>
    <t>@ummmno21 Love the boomerang effect.</t>
  </si>
  <si>
    <t>@JGonzalesCali Dems have proven that they are not going to work with the GOP</t>
  </si>
  <si>
    <t>#SkinnyRepeal c'mon GOP let's do this!!!!!</t>
  </si>
  <si>
    <t>@NPR #4dchess libs... wait till you see the endgame.</t>
  </si>
  <si>
    <t>@NPR Time to burn the #ACA down!  #RepealObamacare</t>
  </si>
  <si>
    <t>@sarahkendzior Fear monger much?</t>
  </si>
  <si>
    <t>Throw Huma from the train.... #BetterNamesForHillarysBook</t>
  </si>
  <si>
    <t>I done got Trumped! #BetterNamesForHillarysBook</t>
  </si>
  <si>
    <t>#BetterNamesForHillarysBook https://t.co/Yfx2UkYQOD</t>
  </si>
  <si>
    <t>What happened?  YOU GOT TRUMPED!!!!  #MAGA!!!🇺🇸🇺🇸🇺🇸🇺🇸 https://t.co/GSE8K47W1X</t>
  </si>
  <si>
    <t>RT @townhallcom: ABC, NBC, And CBS Pretty Much Bury IT Scandal Engulfing Debbie Wasserman Schultz's Office https://t.co/PjbZ2TGIKb</t>
  </si>
  <si>
    <t>@ThomasWictor @HotNostrilsrFun I think you are correct.  I was shocked the other morning when I read the tweets. But I #trusttrump. Something bigger is going on here</t>
  </si>
  <si>
    <t>@bartlet4amer Really highlights the hate that the some liberals are feeling.  Do you all really hate us that much?</t>
  </si>
  <si>
    <t>@robopolitics7 @SenateGOP Driving healthcare costs up, along with premiums while at the same time quality of health care seems to be decreasing.  At least from my POV</t>
  </si>
  <si>
    <t>RT @noprezzie2012: #SkinnyRepeal 
Burn.it.down.
#FullRepeal</t>
  </si>
  <si>
    <t>RT @RealJamesWoods: To the #NotSoMagnificentSeven who scuttled the #ObamaCare flush, this is whom you pissed off... #GoodLuckIn2018 https:/…</t>
  </si>
  <si>
    <t>@robopolitics7 @SenateGOP Obamacare already has done that</t>
  </si>
  <si>
    <t>@IAMConvfefe @marcydw1 Or at least move to Illinois to live in a blue state. May I suggest East St Louis or Cairo?</t>
  </si>
  <si>
    <t>@clairecmc Obamacare has already destroyed the quality of rural healthcare.</t>
  </si>
  <si>
    <t>@HotNostrilsrFun @Noahjwhite @dirk_tubak @bee_persistent We just need to focus on voting @clairecmc out in 2018!</t>
  </si>
  <si>
    <t>Sounds like a plan. Let's light this candle!!! 🇺🇸🇺🇸🇺🇸 https://t.co/09UorL3Evz</t>
  </si>
  <si>
    <t>Odd to see senate moving so fast.  Kind of refreshing. #aca</t>
  </si>
  <si>
    <t>@NBCNightlyNews  https://t.co/7Am4uzkX6y</t>
  </si>
  <si>
    <t>@NBCNightlyNews  https://t.co/LOH1n3zQ27</t>
  </si>
  <si>
    <t>#TransRightsAreHumanRights but I am guess that not all rights apply to military life.</t>
  </si>
  <si>
    <t>@toddstarnes #4dchess.</t>
  </si>
  <si>
    <t>@DarrelGOP What the heck is a radar submarine ?</t>
  </si>
  <si>
    <t>@CharlieDaniels Tour bus troubles?</t>
  </si>
  <si>
    <t>@CassandraRules Wonder what's really going down today?</t>
  </si>
  <si>
    <t>RT @LanaFan2017: @RoyBlunt repeal Obamacare/ACA! It's why you were elected!</t>
  </si>
  <si>
    <t>RT @PollInTheField: What do you think of President Trump banning Transgender people from serving in the military?
#LGBT #transrightsarehum…</t>
  </si>
  <si>
    <t>Congrats to @molegislature @EricGreitens for passing #SB5!   Missouri just got greater!!!! #prolife #DefundPP #abortionismurder https://t.co/vbIqsWUQmt</t>
  </si>
  <si>
    <t>@SBAList @EricGreitens WIN!!!👏👏👏👏👏👏👏👏👏👏👏👏 https://t.co/TzJsxgiqKk</t>
  </si>
  <si>
    <t>@NPR #MAGA!!!!! 🇺🇸🇺🇸🇺🇸🇺🇸🇺🇸🇺🇸🇺🇸 https://t.co/y8kKRboViO</t>
  </si>
  <si>
    <t>@sarahkendzior We need a focused military. I am for gay civil rights but our generals have to be trusted to make the best decisions for the armed forces.</t>
  </si>
  <si>
    <t>@ummmno21 A smart CIC listens to his generals.</t>
  </si>
  <si>
    <t>@realDonaldTrump A wise president listens to his generals.  👏👏🇺🇸</t>
  </si>
  <si>
    <t>@DavidLimbaugh #4dchess  highlighted by a move against sanctuary cities on the same day. #MAGA!!!🇺🇸🇺🇸🇺🇸</t>
  </si>
  <si>
    <t>@AD_WHITMAN @4AllSoulKind @POTUS 👏👏👏🇺🇸</t>
  </si>
  <si>
    <t>@MEPFuller Nice to see them working....</t>
  </si>
  <si>
    <t>@ummmno21 #4dchess 🇺🇸🇺🇸🇺🇸</t>
  </si>
  <si>
    <t>Hey St Louis, we need an evening with @jallman971 featuring @realDonaldTrump as the speaker!!  It would be YUGE!!!   @971FMTalk https://t.co/qgeZOpAN9R</t>
  </si>
  <si>
    <t>RT @tinynotebook: Trump pondering if he will be on Mount Rushmore. I'll do a poll.</t>
  </si>
  <si>
    <t>Kristin wins twitter today🇺🇸🇺🇸🇺🇸 https://t.co/9EEfJNyEIv</t>
  </si>
  <si>
    <t>@DonaldJTrumpJr @realDonaldTrump @POTUS #MAGA!!!!  (Accept no imitations) 🇺🇸🇺🇸🇺🇸</t>
  </si>
  <si>
    <t>@Evan_McMullin @sarahkendzior Blah blah blah Russia blah blah blah...🙄</t>
  </si>
  <si>
    <t>#SaveACA? Nah, let's burn it down!!!! #maga #FullRepeal  🇺🇸🇺🇸🇺🇸</t>
  </si>
  <si>
    <t>@NBCNews I am glad they did not apologize. 🇺🇸🇺🇸🇺🇸</t>
  </si>
  <si>
    <t>@orlandobaxter Sure,  in November 2020. 🇺🇸🇺🇸</t>
  </si>
  <si>
    <t>RT @ScottPresler: Obama: "You didn't build that."
President Trump: "You can build whatever you dream with hard work &amp;amp; dedication."
#BoySc…</t>
  </si>
  <si>
    <t>@clairecmc any chance for a yes vote on #HealthCareVote today so at least the Senate can debate a solution?   Missouri would like that.</t>
  </si>
  <si>
    <t>@SenKamalaHarris And status quo?  Implosion!!!!!!</t>
  </si>
  <si>
    <t>RT @mitchellvii: Folks, you are all witness to history they will write about for centuries. Get some popcorn and enjoy the show. America is…</t>
  </si>
  <si>
    <t>@DavidBekhor No sir, I don't side with any of them, just like I assume that you do not side with anarchists; Being a professional Dr and whatnot.</t>
  </si>
  <si>
    <t>@DavidBekhor As opposed to the anarchy, BLM and  Antifa  symbols hailing from the left?</t>
  </si>
  <si>
    <t>@chaplinlives Interesting assertation... how, exactly, did our President do that in 6 months?  I lay the blame on Obama's 8 years</t>
  </si>
  <si>
    <t>@DavidBekhor Not sure about that. Last I checked Trump is our elected president. The left is the side attempting a coup against authority.</t>
  </si>
  <si>
    <t>@AdamSchiffCA MAGA!!!!!!!!!!!!🇺🇸🇺🇸🇺🇸🇺🇸🇺🇸🇺🇸🇺🇸🇺🇸🇺🇸🇺🇸🇺🇸🇺🇸🇺🇸🇺🇸🇺🇸🇺🇸🇺🇸🇺🇸🇺🇸🇺🇸🇺🇸🇺🇸🇺🇸🇺🇸🇺🇸🇺🇸🇺🇸🇺🇸🇺🇸🇺🇸🇺🇸🇺🇸🇺🇸🇺🇸🇺🇸🇺🇸🇺🇸🇺🇸🇺🇸🇺🇸🇺🇸🇺🇸🇺🇸🇺🇸🇺🇸🇺🇸🇺🇸🇺🇸🇺🇸🇺🇸🇺🇸🇺🇸🇺🇸🇺🇸🇺🇸🇺🇸🇺🇸🇺🇸🇺🇸🇺🇸🇺🇸🇺🇸</t>
  </si>
  <si>
    <t>@DavidBekhor #MAGA 🇺🇸🇺🇸🇺🇸😎</t>
  </si>
  <si>
    <t>Boy Scouts and @potus both love America.  🇺🇸🇺🇸🇺🇸🇺🇸🇺🇸🇺🇸🇺🇸🇺🇸🇺🇸</t>
  </si>
  <si>
    <t>Thank God that @stlcountypd and @MSHPTrooperC are all ok today. I drive 160 miles daily in your highways. Thanks for keeping them safe 👏👏👏👏👏</t>
  </si>
  <si>
    <t>@Breaking911 By my count we are down by 3 votes at best ☹️</t>
  </si>
  <si>
    <t>Good evening @jallman971  could you City folks kindly contain your highspeed chases to your county? They tend to disturb our cows 😅😅</t>
  </si>
  <si>
    <t>Does #ABetterDeal mean you are off the Russia thing?</t>
  </si>
  <si>
    <t>RT @realDonaldTrump: Sleazy Adam Schiff, the totally biased Congressman looking into "Russia," spends all of his time on television pushing…</t>
  </si>
  <si>
    <t>@cpw49684 @moorehn National guard would be on MAGA side😎</t>
  </si>
  <si>
    <t>@CharismaMolotov Not at all.  Thanks for asking though https://t.co/BtFsTr8lWB</t>
  </si>
  <si>
    <t>@JohnMuhammadJr St Louis have been run by democrats like, forever.</t>
  </si>
  <si>
    <t>@sarahkendzior Yet another #NothingBurger.  Aren't y'all getting tired of this?</t>
  </si>
  <si>
    <t>@stylemstrg_jon @GOP 😅😅😅😅😅😅😅😅😅😅😅 whatever.</t>
  </si>
  <si>
    <t>@jrivera64  https://t.co/qVouUfGi04</t>
  </si>
  <si>
    <t>@tedlieu @SenMarkey @POTUS Hmm. And our President would need to sign the law or y'all would need a super majority. Haven't thought this through have you?</t>
  </si>
  <si>
    <t>@HeerJeet @brianbeutler Or folks could just get out of the way and let us #MAGA!🇺🇸🦅.  🚫👣🐍</t>
  </si>
  <si>
    <t>@sarahkendzior  https://t.co/d71zpFm46V</t>
  </si>
  <si>
    <t>@realDonaldTrump #MAGA!!!!!!🇺🇸🦅</t>
  </si>
  <si>
    <t>@CStamper_ Rural Missouri will be out in force in 2018 to vote her out.</t>
  </si>
  <si>
    <t>@Cleverfun66 Does it even carry missles?</t>
  </si>
  <si>
    <t>@leahmcelrath Y'all need to ease off the politics some.  Getting worked up over nothing</t>
  </si>
  <si>
    <t>@thehill Can't wait to drive the further in 2018.  #MAGA!!🇺🇸🦅</t>
  </si>
  <si>
    <t>@ksdknews Hmm removing the confederate monument seems not to be working.....</t>
  </si>
  <si>
    <t>@Gerald_Weaver_ Ivanka2024!!!!!!</t>
  </si>
  <si>
    <t>2024 #TrumpsFinalDaysMovieTitle</t>
  </si>
  <si>
    <t>@NPR 5 #defundnpr. Cuts down on hot air</t>
  </si>
  <si>
    <t>@USCBOcostest Some how much is Aca going raise this year alone and how many insurers will be left in the market?</t>
  </si>
  <si>
    <t>@SilverAdie Obamacare will probably double its premium, again, in six months.</t>
  </si>
  <si>
    <t>@ThirdWayKessler Compared to Obamacare that will double our premiums in 6 months.</t>
  </si>
  <si>
    <t>@NPR #MAGA!  message being sent to rogue courts!</t>
  </si>
  <si>
    <t>#RespectMyVote ?   Only if you are an American citizen who is alive and over 18.</t>
  </si>
  <si>
    <t>Not seeing the problem here. #Maga!!!!🇺🇸🦅. Opinion | The Voter Purges Are Coming https://t.co/KGKRe7jWwd</t>
  </si>
  <si>
    <t>@DrPhilGoff @vanitaguptaCR Allow me to translate. Dems want illegal aliens to vote democrats in to stop #MAGA.</t>
  </si>
  <si>
    <t>RT @mitchellvii: The ONLY way we fall in 2018 is if we lose heart and stay home. We will not lose heart, we will not stay home, we will fig…</t>
  </si>
  <si>
    <t>@SteveRattner @clairecmc Real question is, Why is the ACA going to fail in the first place?</t>
  </si>
  <si>
    <t>@Thefinnigans @realDonaldTrump We had Medicaid before ACA.  We will have it in some form after ACA crashes and burns.</t>
  </si>
  <si>
    <t>RT @ger_gerbear: Let Obamacare fail. What's the big deal? Liberals keep telling us Obamacare is perfectly healthy, if so, it won't fail.</t>
  </si>
  <si>
    <t>@brando5112 @MSNBC @realDonaldTrump Just a reminder.... https://t.co/1ii7uRugc6</t>
  </si>
  <si>
    <t>@MSNBC @DrKarenPhD  https://t.co/txHGurQ1bl</t>
  </si>
  <si>
    <t>@clairecmc Curious what the congress is planning on doing when ACA collapses under it own weight.  I see that some  MO counties are down to one choice</t>
  </si>
  <si>
    <t>@Jansant RINOs and Dems have left him no choice.</t>
  </si>
  <si>
    <t>@dcexaminer @ARnews1936 Let it fail!!!!</t>
  </si>
  <si>
    <t>@accfor #LetItDie</t>
  </si>
  <si>
    <t>@RepJasonSmith @Snapchat @WhiteHouse We need to make America more attractive to industry again.</t>
  </si>
  <si>
    <t>@nytimes Then let Obamacare come crashing down on its own weight.</t>
  </si>
  <si>
    <t>@NIJC #BuildTheWall !!!!</t>
  </si>
  <si>
    <t>@HouseAppropsGOP #BuildThatWall!!!!!!🇺🇸🦅 #MAGA!</t>
  </si>
  <si>
    <t>@ChrisMurphyCT Things were better in 2007.  #RepealObamacare now!!! 🇺🇸🦅</t>
  </si>
  <si>
    <t>RT @RandPaul: As @realDonaldTrump and I discussed last week. Clean repeal now! https://t.co/o2V7DeIv4k</t>
  </si>
  <si>
    <t>We were fine before Obama's nightmare.   #RepealObamacare</t>
  </si>
  <si>
    <t>@971FMTalk @jallman971 @toddstarnes We need full repeal now!   @RoyBlunt @RepJasonSmith you listening?   If not, please tune in to @jallman971 🚗💨 🇺🇸🇺🇸.   🚫👣🐍</t>
  </si>
  <si>
    <t>@eugenegu @danibostick @realDonaldTrump I'll get to keep mine, provided by my employer, not the government. #maga!</t>
  </si>
  <si>
    <t>RT @realDonaldTrump: Republicans should just REPEAL failing ObamaCare now &amp;amp; work on a new Healthcare Plan that will start from a clean slat…</t>
  </si>
  <si>
    <t>#FullRepeal now!!!!  #repeal #aca #obamacare #maga</t>
  </si>
  <si>
    <t>@katie_sado @ldjanes @ReplenishmentSF @FoxNews The silent majority does. The left wing is good at running their mouths. Deplorables tend to keep it quiet till Election Day.</t>
  </si>
  <si>
    <t>@katie_sado @ldjanes @ReplenishmentSF @FoxNews Where ya from😀 https://t.co/wn8IUzevCG</t>
  </si>
  <si>
    <t>@FoxNews @FlyoverCulture Full repeal now!!!!</t>
  </si>
  <si>
    <t>@BraddJaffy  https://t.co/ttH83MgRgI</t>
  </si>
  <si>
    <t>@971FMTalk @jallman971 You mean the same polls that predicted Clinton wins by a land slide?   Nope.</t>
  </si>
  <si>
    <t>@971FMTalk @jallman971 No, this is the best era for our nation since Reagan. Of course I am preaching to the choir.  🇺🇸🇺🇸🇺🇸</t>
  </si>
  <si>
    <t>Hey @nytimes, below is the real Game of Trump https://t.co/R4DcPNSSAF</t>
  </si>
  <si>
    <t>@ScottPresler Thx for the heads up</t>
  </si>
  <si>
    <t>@ScottPresler Going after McCaskill?</t>
  </si>
  <si>
    <t>MAGAnomics!!!  #maga https://t.co/useCb9F7r3</t>
  </si>
  <si>
    <t>RT @billoreilly: As an American, I have had quite enough of anti-Trump hysteria and demand that the press practice the Missouri model: show…</t>
  </si>
  <si>
    <t>A long time ago in a galaxy far way... #MyAgeInAPhrase</t>
  </si>
  <si>
    <t>Obama DOJ scandal is just one more example of the democrats dirt coming back at them.  #Boomerang  #PrayForTrump #maga https://t.co/GPuwHD2nZv</t>
  </si>
  <si>
    <t>@PatrinaC @yashar Can't argue with you on that point. I wish them the best.</t>
  </si>
  <si>
    <t>Hey @BradSherman !!! #Maga!!!! https://t.co/1yVq5pFS2L</t>
  </si>
  <si>
    <t>@aimlynn23 @latimes  https://t.co/JsZ6pZxRqt</t>
  </si>
  <si>
    <t>#TuckerCarlsonTonight. They want to impeach POTUS cause they don't like him. https://t.co/kgqrgONU4l</t>
  </si>
  <si>
    <t>@MaxBoot @FoxNews @TuckerCarlson In case you are wondering Max, that did not go well.</t>
  </si>
  <si>
    <t>The SR Fellow on #tuckercarlson right now https://t.co/s6yPAVwDnv</t>
  </si>
  <si>
    <t>When liberals realize that the latest #Russia story is a #NothingBurger #maga!!!! https://t.co/T86rh2jGXk</t>
  </si>
  <si>
    <t>@tinahseattle 🚂🚃🚃🚃🚃🚃🚃🚃🇺🇸💨 https://t.co/p1vIza6D1C</t>
  </si>
  <si>
    <t>@NickFalacci @yashar You are wrong,  their visas were rejected before the ban.</t>
  </si>
  <si>
    <t>@StillNasty2017  https://t.co/Kuc94X9nEC</t>
  </si>
  <si>
    <t>@kwill80 @yashar Their visas were rejected before the ban was in place.   #justsayin</t>
  </si>
  <si>
    <t>@PatrinaC @yashar You realize that the teams visa was denied before the ban....  (in other words, not ban related) 😀</t>
  </si>
  <si>
    <t>RT @JohnnieM: Such an honor to pray within the Oval Office for @POTUS &amp;amp; @VP . https://t.co/JrDOSJyFeN</t>
  </si>
  <si>
    <t>I did not realize that Isis could get a hashtag trending..... #BringBackObama</t>
  </si>
  <si>
    <t>RT @Deplorable80210: DID OBAMA "SET UP" DJT JR? SOMETHING SMELLS REAL FISHY---
https://t.co/hymcvzs037</t>
  </si>
  <si>
    <t>Antartica trending on twitter because of an iceberg.   REALLY?!? 😅😅😅😅😅😅😅😅😅😅😅😅😅</t>
  </si>
  <si>
    <t>@N_A_T_39 @JJohnsonLaw @realDonaldTrump Y'all keep dreaming. 😅 #NothingBurger</t>
  </si>
  <si>
    <t>@CNNPolitics BREAKING: CNN is fake news!!!!!</t>
  </si>
  <si>
    <t>RT @isaiasvelez11: #BREAKING: Russian lawyer who met with Donald Trump Jr. says she doesn’t represent the Russian government, only herself…</t>
  </si>
  <si>
    <t>Eek!  No google while driving!!! 😅. 🚗💨 @jallman971</t>
  </si>
  <si>
    <t>@amandacarpenter Another week, Another #NothingBurger from #FakeNewsCNN. #MAGA full speed ahead!!🇺🇸🇺🇸🇺🇸</t>
  </si>
  <si>
    <t>@VP @NASA @marcorubio It's all fun and games until @VP tours a mattress factory..... 🇺🇸🇺🇸🇺🇸</t>
  </si>
  <si>
    <t>@Acosta @AlliemalCNN Fake news!!!!!!!!!</t>
  </si>
  <si>
    <t>@funder @realDonaldTrump Clearly you have never visited a McDonald's in St. Louis.</t>
  </si>
  <si>
    <t>@jallman971 Is Hotair beginning to see the light? #MAGA!!!🇺🇸🦅</t>
  </si>
  <si>
    <t>@womensmarch No she is being targeted because she is a psycho terrorist that just threatened our president! #DeportLindaSarsour #maga</t>
  </si>
  <si>
    <t>#CNNBlackmail @OANN, your future looks bright!</t>
  </si>
  <si>
    <t>@ummmno21 Is there anything that can counter the NK artillery aimed at Souel?</t>
  </si>
  <si>
    <t>RT @rickygervais: What's the most likely scenario for Trump?</t>
  </si>
  <si>
    <t>@StephenKing Love your books, disagree with your politics, President Trump's base is growing stronger by the day. #MAGA!🇺🇸🦅</t>
  </si>
  <si>
    <t>@971FMTalk @jallman971 I take one day off and sleep in to find out I missed this....😅</t>
  </si>
  <si>
    <t>70% of Americans getting tired of the ongoing liberal temper tantrum.</t>
  </si>
  <si>
    <t>RT @Jason: @realDonaldTrump Are you voting for trump in 2020?</t>
  </si>
  <si>
    <t>@realDonaldTrump 100% behind you @POTUS.  🇺🇸🇺🇸🇺🇸👏👏👏</t>
  </si>
  <si>
    <t>@Runningbear42 @BetteMidler In 2015, 95 Americans died daily in auto accidents. What's your point?</t>
  </si>
  <si>
    <t>@Nice_White_Lady Me too 😅</t>
  </si>
  <si>
    <t>@joncoopertweets Read the story,  looks like they were rejected visas BEFORE the #travelban.   #nothingburger.</t>
  </si>
  <si>
    <t>@MarthaEW @jallman971 What would be scary is if Siri used Nancy Pelosi's voice.....  😱</t>
  </si>
  <si>
    <t>Our president on twitter today.  #MAGA 🇺🇸🇺🇸🇺🇸🇺🇸🇺🇸🇺🇸🇺🇸🇺🇸 https://t.co/O6qkthhOE8</t>
  </si>
  <si>
    <t>@USVisaLawyer @HelpTheLawyers Serious question.  This ban is about visa applications so if they have a visa they get admitted regardless of nationality?</t>
  </si>
  <si>
    <t>So in reality the travel #TravelBan is merely a visa application ban.</t>
  </si>
  <si>
    <t>@JebBush Yet so awesome!!!! #MAGA!!!</t>
  </si>
  <si>
    <t>Fight 🔥with 🔥!!!  Just like Jackson would have done!!!  👏👏👏  #MAGA 🇺🇸🦅</t>
  </si>
  <si>
    <t>@amnestyusa @realDonaldTrump I'm good.  Thx.</t>
  </si>
  <si>
    <t>@RyanREmrich Principle of the issue, reaffirming executive power from rouge courts.</t>
  </si>
  <si>
    <t>RT @PrisonPlanet: Sen. Claire McCaskill Said She Never Met Russian Ambassador -- She Attended Dinner At His House https://t.co/tDAciQoy9N</t>
  </si>
  <si>
    <t>@jallman971 Reagan Rock Best music ever!!!!!</t>
  </si>
  <si>
    <t>@ReporterClaudia How do they get on a plane to the US without a visa?</t>
  </si>
  <si>
    <t>@Alyssa_Milano Fear not, coming from CNN means it is most likely #veryfakenews</t>
  </si>
  <si>
    <t>@DianaJoy32 @JenniferJJacobs The principle of pushing back on abusive courts at this point is more substantial than the ban itself.</t>
  </si>
  <si>
    <t>@WMN4SRVL @ChristieChats2 @CassieCasanova @BarbinMD @nee_nee6 @brithume On the other hand 440k will lose health care once ACA implodes.</t>
  </si>
  <si>
    <t>@lorimiddleton63 @jallman971 👏👏👏</t>
  </si>
  <si>
    <t>RT @jstines3: Planned Parenthood is PLANNED GENOCIDE! 
#PJNET #ProLife #MarchForLife #DefundPP #PPSellsBabyParts 
https://t.co/YOlwpF2CZ8</t>
  </si>
  <si>
    <t>RT @dbongino: Never forget;when Democrats lie,&amp;amp; accuse Republicans of something,they're typically covering up something themselves https://…</t>
  </si>
  <si>
    <t>RT @c_teelin: #SaveOurCare so we can have premium increases of more than 100% and an unsustainable deficit! #LiberalLogic</t>
  </si>
  <si>
    <t>#SaveOurCare what are y'all gonna do when ACA implodes?  #fullrepeal now!!!!</t>
  </si>
  <si>
    <t>@VanJones68 @facebook Free #nothingburgers included with ticket?  Asking for a friend.....</t>
  </si>
  <si>
    <t>@VanJones68 @valariekaur @aliciagarza Love resistance and #nothingburgers</t>
  </si>
  <si>
    <t>Getting better every day #USAin4words #maga #TrumpTrain</t>
  </si>
  <si>
    <t>@Acosta Feels like we are winning. #MAGA !!!!  🇺🇸🦅</t>
  </si>
  <si>
    <t>@EPA @EPAScottPruitt @POTUS Liberals are freaking out so it must be a good move. #MAGA!!🇺🇸🦅</t>
  </si>
  <si>
    <t>@MarcCox971 we rural folks hate the city of St. Louis.  We have your back.</t>
  </si>
  <si>
    <t>@CNN Must assume that this is more #VeryFakeNews from #AmericanPravda.</t>
  </si>
  <si>
    <t>@RickWinterfell #AmericanPravda</t>
  </si>
  <si>
    <t>Sponsored and paid for by #AmericanPravda https://t.co/8kWoNQRpQO</t>
  </si>
  <si>
    <t>RT @2kschumacher: #DirtyBudget https://t.co/rmVqoaInDD</t>
  </si>
  <si>
    <t>RT @2kschumacher: #DirtyBudget because Twitter is not allowing #AmericanPravda to trend and this is the real #2 trend story today. https://…</t>
  </si>
  <si>
    <t>@NYTAnonSources @JackPosobiec @CNN CNN is toast!</t>
  </si>
  <si>
    <t>CNN reporting that...... #InnocentPhrasesThatScareMe</t>
  </si>
  <si>
    <t>RT @Project_Veritas: Good morning @CNN! While you were sleeping, we were reporting. #AmericanPravda https://t.co/GkJXy2zXQN</t>
  </si>
  <si>
    <t>@CassandraRules @Project_Veritas I would call #AmericanPravda Grand Slam!</t>
  </si>
  <si>
    <t>CNN got Trumped. (Again). 🇺🇸🦅 #TuesdayThoughts</t>
  </si>
  <si>
    <t>RT @HotlineJosh: Claire McCaskill attended reception at Russian ambassador's home - https://t.co/1kVr2JgeoY https://t.co/aetVDDPIot</t>
  </si>
</sst>
</file>

<file path=xl/styles.xml><?xml version="1.0" encoding="utf-8"?>
<styleSheet xmlns="http://schemas.openxmlformats.org/spreadsheetml/2006/main">
  <numFmts count="1">
    <numFmt formatCode="yyyy-mm-dd h:mm:ss" numFmtId="164"/>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3">
    <xf borderId="0" fillId="0" fontId="0" numFmtId="0" pivotButton="0" quotePrefix="0" xfId="0"/>
    <xf applyAlignment="1" borderId="1" fillId="0" fontId="1" numFmtId="0" pivotButton="0" quotePrefix="0" xfId="0">
      <alignment horizontal="center" vertical="top"/>
    </xf>
    <xf borderId="0" fillId="0" fontId="0" numFmtId="164"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M3182"/>
  <sheetViews>
    <sheetView workbookViewId="0">
      <selection activeCell="A1" sqref="A1"/>
    </sheetView>
  </sheetViews>
  <sheetFormatPr baseColWidth="8" defaultRowHeight="15"/>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s="1">
        <f>HYPERLINK("http://www.twitter.com/NathanBLawrence/status/998927145140457473", "998927145140457473")</f>
        <v/>
      </c>
      <c r="B2" s="2" t="n">
        <v>43242.58524305555</v>
      </c>
      <c r="C2" t="n">
        <v>0</v>
      </c>
      <c r="D2" t="n">
        <v>3</v>
      </c>
      <c r="E2" t="s">
        <v>13</v>
      </c>
      <c r="F2" t="s"/>
      <c r="G2" t="s"/>
      <c r="H2" t="s"/>
      <c r="I2" t="s"/>
      <c r="J2" t="n">
        <v>0</v>
      </c>
      <c r="K2" t="n">
        <v>0</v>
      </c>
      <c r="L2" t="n">
        <v>1</v>
      </c>
      <c r="M2" t="n">
        <v>0</v>
      </c>
    </row>
    <row r="3" spans="1:13">
      <c r="A3" s="1">
        <f>HYPERLINK("http://www.twitter.com/NathanBLawrence/status/998925936014786560", "998925936014786560")</f>
        <v/>
      </c>
      <c r="B3" s="2" t="n">
        <v>43242.58189814815</v>
      </c>
      <c r="C3" t="n">
        <v>0</v>
      </c>
      <c r="D3" t="n">
        <v>10</v>
      </c>
      <c r="E3" t="s">
        <v>14</v>
      </c>
      <c r="F3">
        <f>HYPERLINK("http://pbs.twimg.com/media/DdzVOm1U8AAYuE1.png", "http://pbs.twimg.com/media/DdzVOm1U8AAYuE1.png")</f>
        <v/>
      </c>
      <c r="G3" t="s"/>
      <c r="H3" t="s"/>
      <c r="I3" t="s"/>
      <c r="J3" t="n">
        <v>-0.2404</v>
      </c>
      <c r="K3" t="n">
        <v>0.151</v>
      </c>
      <c r="L3" t="n">
        <v>0.736</v>
      </c>
      <c r="M3" t="n">
        <v>0.114</v>
      </c>
    </row>
    <row r="4" spans="1:13">
      <c r="A4" s="1">
        <f>HYPERLINK("http://www.twitter.com/NathanBLawrence/status/998925681135321088", "998925681135321088")</f>
        <v/>
      </c>
      <c r="B4" s="2" t="n">
        <v>43242.5812037037</v>
      </c>
      <c r="C4" t="n">
        <v>0</v>
      </c>
      <c r="D4" t="n">
        <v>5</v>
      </c>
      <c r="E4" t="s">
        <v>15</v>
      </c>
      <c r="F4" t="s"/>
      <c r="G4" t="s"/>
      <c r="H4" t="s"/>
      <c r="I4" t="s"/>
      <c r="J4" t="n">
        <v>0</v>
      </c>
      <c r="K4" t="n">
        <v>0</v>
      </c>
      <c r="L4" t="n">
        <v>1</v>
      </c>
      <c r="M4" t="n">
        <v>0</v>
      </c>
    </row>
    <row r="5" spans="1:13">
      <c r="A5" s="1">
        <f>HYPERLINK("http://www.twitter.com/NathanBLawrence/status/998925475518050308", "998925475518050308")</f>
        <v/>
      </c>
      <c r="B5" s="2" t="n">
        <v>43242.58063657407</v>
      </c>
      <c r="C5" t="n">
        <v>2</v>
      </c>
      <c r="D5" t="n">
        <v>2</v>
      </c>
      <c r="E5" t="s">
        <v>16</v>
      </c>
      <c r="F5" t="s"/>
      <c r="G5" t="s"/>
      <c r="H5" t="s"/>
      <c r="I5" t="s"/>
      <c r="J5" t="n">
        <v>-0.5994</v>
      </c>
      <c r="K5" t="n">
        <v>0.164</v>
      </c>
      <c r="L5" t="n">
        <v>0.836</v>
      </c>
      <c r="M5" t="n">
        <v>0</v>
      </c>
    </row>
    <row r="6" spans="1:13">
      <c r="A6" s="1">
        <f>HYPERLINK("http://www.twitter.com/NathanBLawrence/status/998908148323938304", "998908148323938304")</f>
        <v/>
      </c>
      <c r="B6" s="2" t="n">
        <v>43242.53282407407</v>
      </c>
      <c r="C6" t="n">
        <v>0</v>
      </c>
      <c r="D6" t="n">
        <v>210</v>
      </c>
      <c r="E6" t="s">
        <v>17</v>
      </c>
      <c r="F6">
        <f>HYPERLINK("http://pbs.twimg.com/media/Ddy49I3XUAAktHC.jpg", "http://pbs.twimg.com/media/Ddy49I3XUAAktHC.jpg")</f>
        <v/>
      </c>
      <c r="G6" t="s"/>
      <c r="H6" t="s"/>
      <c r="I6" t="s"/>
      <c r="J6" t="n">
        <v>0</v>
      </c>
      <c r="K6" t="n">
        <v>0</v>
      </c>
      <c r="L6" t="n">
        <v>1</v>
      </c>
      <c r="M6" t="n">
        <v>0</v>
      </c>
    </row>
    <row r="7" spans="1:13">
      <c r="A7" s="1">
        <f>HYPERLINK("http://www.twitter.com/NathanBLawrence/status/998778983578816512", "998778983578816512")</f>
        <v/>
      </c>
      <c r="B7" s="2" t="n">
        <v>43242.17638888889</v>
      </c>
      <c r="C7" t="n">
        <v>0</v>
      </c>
      <c r="D7" t="n">
        <v>0</v>
      </c>
      <c r="E7" t="s">
        <v>18</v>
      </c>
      <c r="F7" t="s"/>
      <c r="G7" t="s"/>
      <c r="H7" t="s"/>
      <c r="I7" t="s"/>
      <c r="J7" t="n">
        <v>0.296</v>
      </c>
      <c r="K7" t="n">
        <v>0.053</v>
      </c>
      <c r="L7" t="n">
        <v>0.845</v>
      </c>
      <c r="M7" t="n">
        <v>0.103</v>
      </c>
    </row>
    <row r="8" spans="1:13">
      <c r="A8" s="1">
        <f>HYPERLINK("http://www.twitter.com/NathanBLawrence/status/998772026792992774", "998772026792992774")</f>
        <v/>
      </c>
      <c r="B8" s="2" t="n">
        <v>43242.15719907408</v>
      </c>
      <c r="C8" t="n">
        <v>2</v>
      </c>
      <c r="D8" t="n">
        <v>0</v>
      </c>
      <c r="E8" t="s">
        <v>19</v>
      </c>
      <c r="F8" t="s"/>
      <c r="G8" t="s"/>
      <c r="H8" t="s"/>
      <c r="I8" t="s"/>
      <c r="J8" t="n">
        <v>-0.7579</v>
      </c>
      <c r="K8" t="n">
        <v>0.306</v>
      </c>
      <c r="L8" t="n">
        <v>0.694</v>
      </c>
      <c r="M8" t="n">
        <v>0</v>
      </c>
    </row>
    <row r="9" spans="1:13">
      <c r="A9" s="1">
        <f>HYPERLINK("http://www.twitter.com/NathanBLawrence/status/998765873119756293", "998765873119756293")</f>
        <v/>
      </c>
      <c r="B9" s="2" t="n">
        <v>43242.14020833333</v>
      </c>
      <c r="C9" t="n">
        <v>1</v>
      </c>
      <c r="D9" t="n">
        <v>0</v>
      </c>
      <c r="E9" t="s">
        <v>20</v>
      </c>
      <c r="F9" t="s"/>
      <c r="G9" t="s"/>
      <c r="H9" t="s"/>
      <c r="I9" t="s"/>
      <c r="J9" t="n">
        <v>0</v>
      </c>
      <c r="K9" t="n">
        <v>0</v>
      </c>
      <c r="L9" t="n">
        <v>1</v>
      </c>
      <c r="M9" t="n">
        <v>0</v>
      </c>
    </row>
    <row r="10" spans="1:13">
      <c r="A10" s="1">
        <f>HYPERLINK("http://www.twitter.com/NathanBLawrence/status/998757226134286337", "998757226134286337")</f>
        <v/>
      </c>
      <c r="B10" s="2" t="n">
        <v>43242.11635416667</v>
      </c>
      <c r="C10" t="n">
        <v>0</v>
      </c>
      <c r="D10" t="n">
        <v>0</v>
      </c>
      <c r="E10" t="s">
        <v>21</v>
      </c>
      <c r="F10" t="s"/>
      <c r="G10" t="s"/>
      <c r="H10" t="s"/>
      <c r="I10" t="s"/>
      <c r="J10" t="n">
        <v>0</v>
      </c>
      <c r="K10" t="n">
        <v>0</v>
      </c>
      <c r="L10" t="n">
        <v>1</v>
      </c>
      <c r="M10" t="n">
        <v>0</v>
      </c>
    </row>
    <row r="11" spans="1:13">
      <c r="A11" s="1">
        <f>HYPERLINK("http://www.twitter.com/NathanBLawrence/status/998747292608946178", "998747292608946178")</f>
        <v/>
      </c>
      <c r="B11" s="2" t="n">
        <v>43242.08894675926</v>
      </c>
      <c r="C11" t="n">
        <v>0</v>
      </c>
      <c r="D11" t="n">
        <v>0</v>
      </c>
      <c r="E11" t="s">
        <v>22</v>
      </c>
      <c r="F11" t="s"/>
      <c r="G11" t="s"/>
      <c r="H11" t="s"/>
      <c r="I11" t="s"/>
      <c r="J11" t="n">
        <v>0.4588</v>
      </c>
      <c r="K11" t="n">
        <v>0</v>
      </c>
      <c r="L11" t="n">
        <v>0.571</v>
      </c>
      <c r="M11" t="n">
        <v>0.429</v>
      </c>
    </row>
    <row r="12" spans="1:13">
      <c r="A12" s="1">
        <f>HYPERLINK("http://www.twitter.com/NathanBLawrence/status/998739402489761792", "998739402489761792")</f>
        <v/>
      </c>
      <c r="B12" s="2" t="n">
        <v>43242.06716435185</v>
      </c>
      <c r="C12" t="n">
        <v>0</v>
      </c>
      <c r="D12" t="n">
        <v>16</v>
      </c>
      <c r="E12" t="s">
        <v>23</v>
      </c>
      <c r="F12" t="s"/>
      <c r="G12" t="s"/>
      <c r="H12" t="s"/>
      <c r="I12" t="s"/>
      <c r="J12" t="n">
        <v>-0.3818</v>
      </c>
      <c r="K12" t="n">
        <v>0.106</v>
      </c>
      <c r="L12" t="n">
        <v>0.894</v>
      </c>
      <c r="M12" t="n">
        <v>0</v>
      </c>
    </row>
    <row r="13" spans="1:13">
      <c r="A13" s="1">
        <f>HYPERLINK("http://www.twitter.com/NathanBLawrence/status/998734046199984134", "998734046199984134")</f>
        <v/>
      </c>
      <c r="B13" s="2" t="n">
        <v>43242.05238425926</v>
      </c>
      <c r="C13" t="n">
        <v>3</v>
      </c>
      <c r="D13" t="n">
        <v>0</v>
      </c>
      <c r="E13" t="s">
        <v>24</v>
      </c>
      <c r="F13" t="s"/>
      <c r="G13" t="s"/>
      <c r="H13" t="s"/>
      <c r="I13" t="s"/>
      <c r="J13" t="n">
        <v>0</v>
      </c>
      <c r="K13" t="n">
        <v>0</v>
      </c>
      <c r="L13" t="n">
        <v>1</v>
      </c>
      <c r="M13" t="n">
        <v>0</v>
      </c>
    </row>
    <row r="14" spans="1:13">
      <c r="A14" s="1">
        <f>HYPERLINK("http://www.twitter.com/NathanBLawrence/status/998706378637217794", "998706378637217794")</f>
        <v/>
      </c>
      <c r="B14" s="2" t="n">
        <v>43241.97604166667</v>
      </c>
      <c r="C14" t="n">
        <v>1</v>
      </c>
      <c r="D14" t="n">
        <v>0</v>
      </c>
      <c r="E14" t="s">
        <v>25</v>
      </c>
      <c r="F14" t="s"/>
      <c r="G14" t="s"/>
      <c r="H14" t="s"/>
      <c r="I14" t="s"/>
      <c r="J14" t="n">
        <v>0</v>
      </c>
      <c r="K14" t="n">
        <v>0</v>
      </c>
      <c r="L14" t="n">
        <v>1</v>
      </c>
      <c r="M14" t="n">
        <v>0</v>
      </c>
    </row>
    <row r="15" spans="1:13">
      <c r="A15" s="1">
        <f>HYPERLINK("http://www.twitter.com/NathanBLawrence/status/998663030476038144", "998663030476038144")</f>
        <v/>
      </c>
      <c r="B15" s="2" t="n">
        <v>43241.85642361111</v>
      </c>
      <c r="C15" t="n">
        <v>0</v>
      </c>
      <c r="D15" t="n">
        <v>9</v>
      </c>
      <c r="E15" t="s">
        <v>26</v>
      </c>
      <c r="F15" t="s"/>
      <c r="G15" t="s"/>
      <c r="H15" t="s"/>
      <c r="I15" t="s"/>
      <c r="J15" t="n">
        <v>-0.3612</v>
      </c>
      <c r="K15" t="n">
        <v>0.106</v>
      </c>
      <c r="L15" t="n">
        <v>0.894</v>
      </c>
      <c r="M15" t="n">
        <v>0</v>
      </c>
    </row>
    <row r="16" spans="1:13">
      <c r="A16" s="1">
        <f>HYPERLINK("http://www.twitter.com/NathanBLawrence/status/998662744520974336", "998662744520974336")</f>
        <v/>
      </c>
      <c r="B16" s="2" t="n">
        <v>43241.85563657407</v>
      </c>
      <c r="C16" t="n">
        <v>0</v>
      </c>
      <c r="D16" t="n">
        <v>7</v>
      </c>
      <c r="E16" t="s">
        <v>27</v>
      </c>
      <c r="F16" t="s"/>
      <c r="G16" t="s"/>
      <c r="H16" t="s"/>
      <c r="I16" t="s"/>
      <c r="J16" t="n">
        <v>-0.5719</v>
      </c>
      <c r="K16" t="n">
        <v>0.144</v>
      </c>
      <c r="L16" t="n">
        <v>0.856</v>
      </c>
      <c r="M16" t="n">
        <v>0</v>
      </c>
    </row>
    <row r="17" spans="1:13">
      <c r="A17" s="1">
        <f>HYPERLINK("http://www.twitter.com/NathanBLawrence/status/998662399904354304", "998662399904354304")</f>
        <v/>
      </c>
      <c r="B17" s="2" t="n">
        <v>43241.8546875</v>
      </c>
      <c r="C17" t="n">
        <v>5</v>
      </c>
      <c r="D17" t="n">
        <v>3</v>
      </c>
      <c r="E17" t="s">
        <v>28</v>
      </c>
      <c r="F17" t="s"/>
      <c r="G17" t="s"/>
      <c r="H17" t="s"/>
      <c r="I17" t="s"/>
      <c r="J17" t="n">
        <v>0.4019</v>
      </c>
      <c r="K17" t="n">
        <v>0</v>
      </c>
      <c r="L17" t="n">
        <v>0.769</v>
      </c>
      <c r="M17" t="n">
        <v>0.231</v>
      </c>
    </row>
    <row r="18" spans="1:13">
      <c r="A18" s="1">
        <f>HYPERLINK("http://www.twitter.com/NathanBLawrence/status/998657653986549761", "998657653986549761")</f>
        <v/>
      </c>
      <c r="B18" s="2" t="n">
        <v>43241.84158564815</v>
      </c>
      <c r="C18" t="n">
        <v>0</v>
      </c>
      <c r="D18" t="n">
        <v>0</v>
      </c>
      <c r="E18" t="s">
        <v>29</v>
      </c>
      <c r="F18" t="s"/>
      <c r="G18" t="s"/>
      <c r="H18" t="s"/>
      <c r="I18" t="s"/>
      <c r="J18" t="n">
        <v>0</v>
      </c>
      <c r="K18" t="n">
        <v>0</v>
      </c>
      <c r="L18" t="n">
        <v>1</v>
      </c>
      <c r="M18" t="n">
        <v>0</v>
      </c>
    </row>
    <row r="19" spans="1:13">
      <c r="A19" s="1">
        <f>HYPERLINK("http://www.twitter.com/NathanBLawrence/status/998654536087756801", "998654536087756801")</f>
        <v/>
      </c>
      <c r="B19" s="2" t="n">
        <v>43241.83298611111</v>
      </c>
      <c r="C19" t="n">
        <v>0</v>
      </c>
      <c r="D19" t="n">
        <v>0</v>
      </c>
      <c r="E19" t="s">
        <v>30</v>
      </c>
      <c r="F19" t="s"/>
      <c r="G19" t="s"/>
      <c r="H19" t="s"/>
      <c r="I19" t="s"/>
      <c r="J19" t="n">
        <v>0</v>
      </c>
      <c r="K19" t="n">
        <v>0</v>
      </c>
      <c r="L19" t="n">
        <v>1</v>
      </c>
      <c r="M19" t="n">
        <v>0</v>
      </c>
    </row>
    <row r="20" spans="1:13">
      <c r="A20" s="1">
        <f>HYPERLINK("http://www.twitter.com/NathanBLawrence/status/998607154360832000", "998607154360832000")</f>
        <v/>
      </c>
      <c r="B20" s="2" t="n">
        <v>43241.7022337963</v>
      </c>
      <c r="C20" t="n">
        <v>1</v>
      </c>
      <c r="D20" t="n">
        <v>0</v>
      </c>
      <c r="E20" t="s">
        <v>31</v>
      </c>
      <c r="F20" t="s"/>
      <c r="G20" t="s"/>
      <c r="H20" t="s"/>
      <c r="I20" t="s"/>
      <c r="J20" t="n">
        <v>0</v>
      </c>
      <c r="K20" t="n">
        <v>0</v>
      </c>
      <c r="L20" t="n">
        <v>1</v>
      </c>
      <c r="M20" t="n">
        <v>0</v>
      </c>
    </row>
    <row r="21" spans="1:13">
      <c r="A21" s="1">
        <f>HYPERLINK("http://www.twitter.com/NathanBLawrence/status/998600559660761088", "998600559660761088")</f>
        <v/>
      </c>
      <c r="B21" s="2" t="n">
        <v>43241.68403935185</v>
      </c>
      <c r="C21" t="n">
        <v>0</v>
      </c>
      <c r="D21" t="n">
        <v>0</v>
      </c>
      <c r="E21" t="s">
        <v>32</v>
      </c>
      <c r="F21" t="s"/>
      <c r="G21" t="s"/>
      <c r="H21" t="s"/>
      <c r="I21" t="s"/>
      <c r="J21" t="n">
        <v>-0.3612</v>
      </c>
      <c r="K21" t="n">
        <v>0.139</v>
      </c>
      <c r="L21" t="n">
        <v>0.79</v>
      </c>
      <c r="M21" t="n">
        <v>0.07099999999999999</v>
      </c>
    </row>
    <row r="22" spans="1:13">
      <c r="A22" s="1">
        <f>HYPERLINK("http://www.twitter.com/NathanBLawrence/status/998548657623437312", "998548657623437312")</f>
        <v/>
      </c>
      <c r="B22" s="2" t="n">
        <v>43241.54081018519</v>
      </c>
      <c r="C22" t="n">
        <v>0</v>
      </c>
      <c r="D22" t="n">
        <v>80</v>
      </c>
      <c r="E22" t="s">
        <v>33</v>
      </c>
      <c r="F22" t="s"/>
      <c r="G22" t="s"/>
      <c r="H22" t="s"/>
      <c r="I22" t="s"/>
      <c r="J22" t="n">
        <v>0</v>
      </c>
      <c r="K22" t="n">
        <v>0</v>
      </c>
      <c r="L22" t="n">
        <v>1</v>
      </c>
      <c r="M22" t="n">
        <v>0</v>
      </c>
    </row>
    <row r="23" spans="1:13">
      <c r="A23" s="1">
        <f>HYPERLINK("http://www.twitter.com/NathanBLawrence/status/998469099046031361", "998469099046031361")</f>
        <v/>
      </c>
      <c r="B23" s="2" t="n">
        <v>43241.32127314815</v>
      </c>
      <c r="C23" t="n">
        <v>0</v>
      </c>
      <c r="D23" t="n">
        <v>11</v>
      </c>
      <c r="E23" t="s">
        <v>34</v>
      </c>
      <c r="F23" t="s"/>
      <c r="G23" t="s"/>
      <c r="H23" t="s"/>
      <c r="I23" t="s"/>
      <c r="J23" t="n">
        <v>0.2023</v>
      </c>
      <c r="K23" t="n">
        <v>0.08799999999999999</v>
      </c>
      <c r="L23" t="n">
        <v>0.787</v>
      </c>
      <c r="M23" t="n">
        <v>0.125</v>
      </c>
    </row>
    <row r="24" spans="1:13">
      <c r="A24" s="1">
        <f>HYPERLINK("http://www.twitter.com/NathanBLawrence/status/998399491861549056", "998399491861549056")</f>
        <v/>
      </c>
      <c r="B24" s="2" t="n">
        <v>43241.12918981481</v>
      </c>
      <c r="C24" t="n">
        <v>1</v>
      </c>
      <c r="D24" t="n">
        <v>0</v>
      </c>
      <c r="E24" t="s">
        <v>35</v>
      </c>
      <c r="F24" t="s"/>
      <c r="G24" t="s"/>
      <c r="H24" t="s"/>
      <c r="I24" t="s"/>
      <c r="J24" t="n">
        <v>0</v>
      </c>
      <c r="K24" t="n">
        <v>0</v>
      </c>
      <c r="L24" t="n">
        <v>1</v>
      </c>
      <c r="M24" t="n">
        <v>0</v>
      </c>
    </row>
    <row r="25" spans="1:13">
      <c r="A25" s="1">
        <f>HYPERLINK("http://www.twitter.com/NathanBLawrence/status/998399259434250244", "998399259434250244")</f>
        <v/>
      </c>
      <c r="B25" s="2" t="n">
        <v>43241.12855324074</v>
      </c>
      <c r="C25" t="n">
        <v>0</v>
      </c>
      <c r="D25" t="n">
        <v>88</v>
      </c>
      <c r="E25" t="s">
        <v>36</v>
      </c>
      <c r="F25" t="s"/>
      <c r="G25" t="s"/>
      <c r="H25" t="s"/>
      <c r="I25" t="s"/>
      <c r="J25" t="n">
        <v>0</v>
      </c>
      <c r="K25" t="n">
        <v>0</v>
      </c>
      <c r="L25" t="n">
        <v>1</v>
      </c>
      <c r="M25" t="n">
        <v>0</v>
      </c>
    </row>
    <row r="26" spans="1:13">
      <c r="A26" s="1">
        <f>HYPERLINK("http://www.twitter.com/NathanBLawrence/status/998398919448104962", "998398919448104962")</f>
        <v/>
      </c>
      <c r="B26" s="2" t="n">
        <v>43241.12761574074</v>
      </c>
      <c r="C26" t="n">
        <v>0</v>
      </c>
      <c r="D26" t="n">
        <v>4</v>
      </c>
      <c r="E26" t="s">
        <v>37</v>
      </c>
      <c r="F26" t="s"/>
      <c r="G26" t="s"/>
      <c r="H26" t="s"/>
      <c r="I26" t="s"/>
      <c r="J26" t="n">
        <v>0</v>
      </c>
      <c r="K26" t="n">
        <v>0</v>
      </c>
      <c r="L26" t="n">
        <v>1</v>
      </c>
      <c r="M26" t="n">
        <v>0</v>
      </c>
    </row>
    <row r="27" spans="1:13">
      <c r="A27" s="1">
        <f>HYPERLINK("http://www.twitter.com/NathanBLawrence/status/998397692278697984", "998397692278697984")</f>
        <v/>
      </c>
      <c r="B27" s="2" t="n">
        <v>43241.12422453704</v>
      </c>
      <c r="C27" t="n">
        <v>2</v>
      </c>
      <c r="D27" t="n">
        <v>0</v>
      </c>
      <c r="E27" t="s">
        <v>38</v>
      </c>
      <c r="F27" t="s"/>
      <c r="G27" t="s"/>
      <c r="H27" t="s"/>
      <c r="I27" t="s"/>
      <c r="J27" t="n">
        <v>0</v>
      </c>
      <c r="K27" t="n">
        <v>0</v>
      </c>
      <c r="L27" t="n">
        <v>1</v>
      </c>
      <c r="M27" t="n">
        <v>0</v>
      </c>
    </row>
    <row r="28" spans="1:13">
      <c r="A28" s="1">
        <f>HYPERLINK("http://www.twitter.com/NathanBLawrence/status/998389845000118273", "998389845000118273")</f>
        <v/>
      </c>
      <c r="B28" s="2" t="n">
        <v>43241.10256944445</v>
      </c>
      <c r="C28" t="n">
        <v>1</v>
      </c>
      <c r="D28" t="n">
        <v>0</v>
      </c>
      <c r="E28" t="s">
        <v>39</v>
      </c>
      <c r="F28" t="s"/>
      <c r="G28" t="s"/>
      <c r="H28" t="s"/>
      <c r="I28" t="s"/>
      <c r="J28" t="n">
        <v>0.3818</v>
      </c>
      <c r="K28" t="n">
        <v>0</v>
      </c>
      <c r="L28" t="n">
        <v>0.729</v>
      </c>
      <c r="M28" t="n">
        <v>0.271</v>
      </c>
    </row>
    <row r="29" spans="1:13">
      <c r="A29" s="1">
        <f>HYPERLINK("http://www.twitter.com/NathanBLawrence/status/998388046763610112", "998388046763610112")</f>
        <v/>
      </c>
      <c r="B29" s="2" t="n">
        <v>43241.09761574074</v>
      </c>
      <c r="C29" t="n">
        <v>0</v>
      </c>
      <c r="D29" t="n">
        <v>12</v>
      </c>
      <c r="E29" t="s">
        <v>40</v>
      </c>
      <c r="F29">
        <f>HYPERLINK("http://pbs.twimg.com/media/DdiLNLrVwAA7uNN.jpg", "http://pbs.twimg.com/media/DdiLNLrVwAA7uNN.jpg")</f>
        <v/>
      </c>
      <c r="G29" t="s"/>
      <c r="H29" t="s"/>
      <c r="I29" t="s"/>
      <c r="J29" t="n">
        <v>-0.3382</v>
      </c>
      <c r="K29" t="n">
        <v>0.098</v>
      </c>
      <c r="L29" t="n">
        <v>0.902</v>
      </c>
      <c r="M29" t="n">
        <v>0</v>
      </c>
    </row>
    <row r="30" spans="1:13">
      <c r="A30" s="1">
        <f>HYPERLINK("http://www.twitter.com/NathanBLawrence/status/998364890254446593", "998364890254446593")</f>
        <v/>
      </c>
      <c r="B30" s="2" t="n">
        <v>43241.03371527778</v>
      </c>
      <c r="C30" t="n">
        <v>0</v>
      </c>
      <c r="D30" t="n">
        <v>0</v>
      </c>
      <c r="E30" t="s">
        <v>41</v>
      </c>
      <c r="F30" t="s"/>
      <c r="G30" t="s"/>
      <c r="H30" t="s"/>
      <c r="I30" t="s"/>
      <c r="J30" t="n">
        <v>0.4767</v>
      </c>
      <c r="K30" t="n">
        <v>0</v>
      </c>
      <c r="L30" t="n">
        <v>0.744</v>
      </c>
      <c r="M30" t="n">
        <v>0.256</v>
      </c>
    </row>
    <row r="31" spans="1:13">
      <c r="A31" s="1">
        <f>HYPERLINK("http://www.twitter.com/NathanBLawrence/status/998267238456193024", "998267238456193024")</f>
        <v/>
      </c>
      <c r="B31" s="2" t="n">
        <v>43240.76424768518</v>
      </c>
      <c r="C31" t="n">
        <v>0</v>
      </c>
      <c r="D31" t="n">
        <v>1804</v>
      </c>
      <c r="E31" t="s">
        <v>42</v>
      </c>
      <c r="F31" t="s"/>
      <c r="G31" t="s"/>
      <c r="H31" t="s"/>
      <c r="I31" t="s"/>
      <c r="J31" t="n">
        <v>-0.1243</v>
      </c>
      <c r="K31" t="n">
        <v>0.128</v>
      </c>
      <c r="L31" t="n">
        <v>0.762</v>
      </c>
      <c r="M31" t="n">
        <v>0.111</v>
      </c>
    </row>
    <row r="32" spans="1:13">
      <c r="A32" s="1">
        <f>HYPERLINK("http://www.twitter.com/NathanBLawrence/status/998265611670179841", "998265611670179841")</f>
        <v/>
      </c>
      <c r="B32" s="2" t="n">
        <v>43240.75975694445</v>
      </c>
      <c r="C32" t="n">
        <v>0</v>
      </c>
      <c r="D32" t="n">
        <v>53102</v>
      </c>
      <c r="E32" t="s">
        <v>43</v>
      </c>
      <c r="F32" t="s"/>
      <c r="G32" t="s"/>
      <c r="H32" t="s"/>
      <c r="I32" t="s"/>
      <c r="J32" t="n">
        <v>0.4404</v>
      </c>
      <c r="K32" t="n">
        <v>0.06</v>
      </c>
      <c r="L32" t="n">
        <v>0.803</v>
      </c>
      <c r="M32" t="n">
        <v>0.137</v>
      </c>
    </row>
    <row r="33" spans="1:13">
      <c r="A33" s="1">
        <f>HYPERLINK("http://www.twitter.com/NathanBLawrence/status/998265611636609024", "998265611636609024")</f>
        <v/>
      </c>
      <c r="B33" s="2" t="n">
        <v>43240.75975694445</v>
      </c>
      <c r="C33" t="n">
        <v>0</v>
      </c>
      <c r="D33" t="n">
        <v>19155</v>
      </c>
      <c r="E33" t="s">
        <v>44</v>
      </c>
      <c r="F33" t="s"/>
      <c r="G33" t="s"/>
      <c r="H33" t="s"/>
      <c r="I33" t="s"/>
      <c r="J33" t="n">
        <v>0.1759</v>
      </c>
      <c r="K33" t="n">
        <v>0.178</v>
      </c>
      <c r="L33" t="n">
        <v>0.676</v>
      </c>
      <c r="M33" t="n">
        <v>0.146</v>
      </c>
    </row>
    <row r="34" spans="1:13">
      <c r="A34" s="1">
        <f>HYPERLINK("http://www.twitter.com/NathanBLawrence/status/998265517440946176", "998265517440946176")</f>
        <v/>
      </c>
      <c r="B34" s="2" t="n">
        <v>43240.75949074074</v>
      </c>
      <c r="C34" t="n">
        <v>0</v>
      </c>
      <c r="D34" t="n">
        <v>0</v>
      </c>
      <c r="E34" t="s">
        <v>45</v>
      </c>
      <c r="F34" t="s"/>
      <c r="G34" t="s"/>
      <c r="H34" t="s"/>
      <c r="I34" t="s"/>
      <c r="J34" t="n">
        <v>0</v>
      </c>
      <c r="K34" t="n">
        <v>0</v>
      </c>
      <c r="L34" t="n">
        <v>1</v>
      </c>
      <c r="M34" t="n">
        <v>0</v>
      </c>
    </row>
    <row r="35" spans="1:13">
      <c r="A35" s="1">
        <f>HYPERLINK("http://www.twitter.com/NathanBLawrence/status/998263161496264705", "998263161496264705")</f>
        <v/>
      </c>
      <c r="B35" s="2" t="n">
        <v>43240.75299768519</v>
      </c>
      <c r="C35" t="n">
        <v>1</v>
      </c>
      <c r="D35" t="n">
        <v>1</v>
      </c>
      <c r="E35" t="s">
        <v>46</v>
      </c>
      <c r="F35" t="s"/>
      <c r="G35" t="s"/>
      <c r="H35" t="s"/>
      <c r="I35" t="s"/>
      <c r="J35" t="n">
        <v>-0.9296</v>
      </c>
      <c r="K35" t="n">
        <v>0.338</v>
      </c>
      <c r="L35" t="n">
        <v>0.662</v>
      </c>
      <c r="M35" t="n">
        <v>0</v>
      </c>
    </row>
    <row r="36" spans="1:13">
      <c r="A36" s="1">
        <f>HYPERLINK("http://www.twitter.com/NathanBLawrence/status/998261495036293120", "998261495036293120")</f>
        <v/>
      </c>
      <c r="B36" s="2" t="n">
        <v>43240.74839120371</v>
      </c>
      <c r="C36" t="n">
        <v>2</v>
      </c>
      <c r="D36" t="n">
        <v>2</v>
      </c>
      <c r="E36" t="s">
        <v>47</v>
      </c>
      <c r="F36" t="s"/>
      <c r="G36" t="s"/>
      <c r="H36" t="s"/>
      <c r="I36" t="s"/>
      <c r="J36" t="n">
        <v>-0.9296</v>
      </c>
      <c r="K36" t="n">
        <v>0.347</v>
      </c>
      <c r="L36" t="n">
        <v>0.653</v>
      </c>
      <c r="M36" t="n">
        <v>0</v>
      </c>
    </row>
    <row r="37" spans="1:13">
      <c r="A37" s="1">
        <f>HYPERLINK("http://www.twitter.com/NathanBLawrence/status/998259839062233093", "998259839062233093")</f>
        <v/>
      </c>
      <c r="B37" s="2" t="n">
        <v>43240.74383101852</v>
      </c>
      <c r="C37" t="n">
        <v>3</v>
      </c>
      <c r="D37" t="n">
        <v>1</v>
      </c>
      <c r="E37" t="s">
        <v>48</v>
      </c>
      <c r="F37" t="s"/>
      <c r="G37" t="s"/>
      <c r="H37" t="s"/>
      <c r="I37" t="s"/>
      <c r="J37" t="n">
        <v>0</v>
      </c>
      <c r="K37" t="n">
        <v>0</v>
      </c>
      <c r="L37" t="n">
        <v>1</v>
      </c>
      <c r="M37" t="n">
        <v>0</v>
      </c>
    </row>
    <row r="38" spans="1:13">
      <c r="A38" s="1">
        <f>HYPERLINK("http://www.twitter.com/NathanBLawrence/status/998259560174546944", "998259560174546944")</f>
        <v/>
      </c>
      <c r="B38" s="2" t="n">
        <v>43240.74305555555</v>
      </c>
      <c r="C38" t="n">
        <v>0</v>
      </c>
      <c r="D38" t="n">
        <v>2</v>
      </c>
      <c r="E38" t="s">
        <v>49</v>
      </c>
      <c r="F38" t="s"/>
      <c r="G38" t="s"/>
      <c r="H38" t="s"/>
      <c r="I38" t="s"/>
      <c r="J38" t="n">
        <v>0</v>
      </c>
      <c r="K38" t="n">
        <v>0</v>
      </c>
      <c r="L38" t="n">
        <v>1</v>
      </c>
      <c r="M38" t="n">
        <v>0</v>
      </c>
    </row>
    <row r="39" spans="1:13">
      <c r="A39" s="1">
        <f>HYPERLINK("http://www.twitter.com/NathanBLawrence/status/998258773608292352", "998258773608292352")</f>
        <v/>
      </c>
      <c r="B39" s="2" t="n">
        <v>43240.74089120371</v>
      </c>
      <c r="C39" t="n">
        <v>0</v>
      </c>
      <c r="D39" t="n">
        <v>72</v>
      </c>
      <c r="E39" t="s">
        <v>50</v>
      </c>
      <c r="F39" t="s"/>
      <c r="G39" t="s"/>
      <c r="H39" t="s"/>
      <c r="I39" t="s"/>
      <c r="J39" t="n">
        <v>0.34</v>
      </c>
      <c r="K39" t="n">
        <v>0.115</v>
      </c>
      <c r="L39" t="n">
        <v>0.65</v>
      </c>
      <c r="M39" t="n">
        <v>0.235</v>
      </c>
    </row>
    <row r="40" spans="1:13">
      <c r="A40" s="1">
        <f>HYPERLINK("http://www.twitter.com/NathanBLawrence/status/998258272758108161", "998258272758108161")</f>
        <v/>
      </c>
      <c r="B40" s="2" t="n">
        <v>43240.73950231481</v>
      </c>
      <c r="C40" t="n">
        <v>0</v>
      </c>
      <c r="D40" t="n">
        <v>4</v>
      </c>
      <c r="E40" t="s">
        <v>51</v>
      </c>
      <c r="F40" t="s"/>
      <c r="G40" t="s"/>
      <c r="H40" t="s"/>
      <c r="I40" t="s"/>
      <c r="J40" t="n">
        <v>0.4019</v>
      </c>
      <c r="K40" t="n">
        <v>0</v>
      </c>
      <c r="L40" t="n">
        <v>0.87</v>
      </c>
      <c r="M40" t="n">
        <v>0.13</v>
      </c>
    </row>
    <row r="41" spans="1:13">
      <c r="A41" s="1">
        <f>HYPERLINK("http://www.twitter.com/NathanBLawrence/status/998258066104741889", "998258066104741889")</f>
        <v/>
      </c>
      <c r="B41" s="2" t="n">
        <v>43240.73893518518</v>
      </c>
      <c r="C41" t="n">
        <v>0</v>
      </c>
      <c r="D41" t="n">
        <v>8</v>
      </c>
      <c r="E41" t="s">
        <v>52</v>
      </c>
      <c r="F41" t="s"/>
      <c r="G41" t="s"/>
      <c r="H41" t="s"/>
      <c r="I41" t="s"/>
      <c r="J41" t="n">
        <v>0</v>
      </c>
      <c r="K41" t="n">
        <v>0</v>
      </c>
      <c r="L41" t="n">
        <v>1</v>
      </c>
      <c r="M41" t="n">
        <v>0</v>
      </c>
    </row>
    <row r="42" spans="1:13">
      <c r="A42" s="1">
        <f>HYPERLINK("http://www.twitter.com/NathanBLawrence/status/998231657659461632", "998231657659461632")</f>
        <v/>
      </c>
      <c r="B42" s="2" t="n">
        <v>43240.66606481482</v>
      </c>
      <c r="C42" t="n">
        <v>0</v>
      </c>
      <c r="D42" t="n">
        <v>2</v>
      </c>
      <c r="E42" t="s">
        <v>53</v>
      </c>
      <c r="F42" t="s"/>
      <c r="G42" t="s"/>
      <c r="H42" t="s"/>
      <c r="I42" t="s"/>
      <c r="J42" t="n">
        <v>-0.7184</v>
      </c>
      <c r="K42" t="n">
        <v>0.261</v>
      </c>
      <c r="L42" t="n">
        <v>0.739</v>
      </c>
      <c r="M42" t="n">
        <v>0</v>
      </c>
    </row>
    <row r="43" spans="1:13">
      <c r="A43" s="1">
        <f>HYPERLINK("http://www.twitter.com/NathanBLawrence/status/998229332639219714", "998229332639219714")</f>
        <v/>
      </c>
      <c r="B43" s="2" t="n">
        <v>43240.6596412037</v>
      </c>
      <c r="C43" t="n">
        <v>0</v>
      </c>
      <c r="D43" t="n">
        <v>24</v>
      </c>
      <c r="E43" t="s">
        <v>54</v>
      </c>
      <c r="F43" t="s"/>
      <c r="G43" t="s"/>
      <c r="H43" t="s"/>
      <c r="I43" t="s"/>
      <c r="J43" t="n">
        <v>0.25</v>
      </c>
      <c r="K43" t="n">
        <v>0.102</v>
      </c>
      <c r="L43" t="n">
        <v>0.72</v>
      </c>
      <c r="M43" t="n">
        <v>0.178</v>
      </c>
    </row>
    <row r="44" spans="1:13">
      <c r="A44" s="1">
        <f>HYPERLINK("http://www.twitter.com/NathanBLawrence/status/998223433757544448", "998223433757544448")</f>
        <v/>
      </c>
      <c r="B44" s="2" t="n">
        <v>43240.64336805556</v>
      </c>
      <c r="C44" t="n">
        <v>0</v>
      </c>
      <c r="D44" t="n">
        <v>0</v>
      </c>
      <c r="E44" t="s">
        <v>55</v>
      </c>
      <c r="F44" t="s"/>
      <c r="G44" t="s"/>
      <c r="H44" t="s"/>
      <c r="I44" t="s"/>
      <c r="J44" t="n">
        <v>0</v>
      </c>
      <c r="K44" t="n">
        <v>0</v>
      </c>
      <c r="L44" t="n">
        <v>1</v>
      </c>
      <c r="M44" t="n">
        <v>0</v>
      </c>
    </row>
    <row r="45" spans="1:13">
      <c r="A45" s="1">
        <f>HYPERLINK("http://www.twitter.com/NathanBLawrence/status/998223338706296832", "998223338706296832")</f>
        <v/>
      </c>
      <c r="B45" s="2" t="n">
        <v>43240.64310185185</v>
      </c>
      <c r="C45" t="n">
        <v>0</v>
      </c>
      <c r="D45" t="n">
        <v>0</v>
      </c>
      <c r="E45" t="s">
        <v>56</v>
      </c>
      <c r="F45" t="s"/>
      <c r="G45" t="s"/>
      <c r="H45" t="s"/>
      <c r="I45" t="s"/>
      <c r="J45" t="n">
        <v>0</v>
      </c>
      <c r="K45" t="n">
        <v>0</v>
      </c>
      <c r="L45" t="n">
        <v>1</v>
      </c>
      <c r="M45" t="n">
        <v>0</v>
      </c>
    </row>
    <row r="46" spans="1:13">
      <c r="A46" s="1">
        <f>HYPERLINK("http://www.twitter.com/NathanBLawrence/status/998060069685288960", "998060069685288960")</f>
        <v/>
      </c>
      <c r="B46" s="2" t="n">
        <v>43240.19256944444</v>
      </c>
      <c r="C46" t="n">
        <v>1</v>
      </c>
      <c r="D46" t="n">
        <v>0</v>
      </c>
      <c r="E46" t="s">
        <v>57</v>
      </c>
      <c r="F46" t="s"/>
      <c r="G46" t="s"/>
      <c r="H46" t="s"/>
      <c r="I46" t="s"/>
      <c r="J46" t="n">
        <v>0</v>
      </c>
      <c r="K46" t="n">
        <v>0</v>
      </c>
      <c r="L46" t="n">
        <v>1</v>
      </c>
      <c r="M46" t="n">
        <v>0</v>
      </c>
    </row>
    <row r="47" spans="1:13">
      <c r="A47" s="1">
        <f>HYPERLINK("http://www.twitter.com/NathanBLawrence/status/998059671821963265", "998059671821963265")</f>
        <v/>
      </c>
      <c r="B47" s="2" t="n">
        <v>43240.1914699074</v>
      </c>
      <c r="C47" t="n">
        <v>1</v>
      </c>
      <c r="D47" t="n">
        <v>0</v>
      </c>
      <c r="E47" t="s">
        <v>58</v>
      </c>
      <c r="F47" t="s"/>
      <c r="G47" t="s"/>
      <c r="H47" t="s"/>
      <c r="I47" t="s"/>
      <c r="J47" t="n">
        <v>-0.296</v>
      </c>
      <c r="K47" t="n">
        <v>0.221</v>
      </c>
      <c r="L47" t="n">
        <v>0.673</v>
      </c>
      <c r="M47" t="n">
        <v>0.106</v>
      </c>
    </row>
    <row r="48" spans="1:13">
      <c r="A48" s="1">
        <f>HYPERLINK("http://www.twitter.com/NathanBLawrence/status/998057175560998917", "998057175560998917")</f>
        <v/>
      </c>
      <c r="B48" s="2" t="n">
        <v>43240.18458333334</v>
      </c>
      <c r="C48" t="n">
        <v>0</v>
      </c>
      <c r="D48" t="n">
        <v>0</v>
      </c>
      <c r="E48" t="s">
        <v>59</v>
      </c>
      <c r="F48" t="s"/>
      <c r="G48" t="s"/>
      <c r="H48" t="s"/>
      <c r="I48" t="s"/>
      <c r="J48" t="n">
        <v>0</v>
      </c>
      <c r="K48" t="n">
        <v>0</v>
      </c>
      <c r="L48" t="n">
        <v>1</v>
      </c>
      <c r="M48" t="n">
        <v>0</v>
      </c>
    </row>
    <row r="49" spans="1:13">
      <c r="A49" s="1">
        <f>HYPERLINK("http://www.twitter.com/NathanBLawrence/status/998056689470443520", "998056689470443520")</f>
        <v/>
      </c>
      <c r="B49" s="2" t="n">
        <v>43240.18324074074</v>
      </c>
      <c r="C49" t="n">
        <v>0</v>
      </c>
      <c r="D49" t="n">
        <v>0</v>
      </c>
      <c r="E49" t="s">
        <v>60</v>
      </c>
      <c r="F49" t="s"/>
      <c r="G49" t="s"/>
      <c r="H49" t="s"/>
      <c r="I49" t="s"/>
      <c r="J49" t="n">
        <v>0.5574</v>
      </c>
      <c r="K49" t="n">
        <v>0</v>
      </c>
      <c r="L49" t="n">
        <v>0.5659999999999999</v>
      </c>
      <c r="M49" t="n">
        <v>0.434</v>
      </c>
    </row>
    <row r="50" spans="1:13">
      <c r="A50" s="1">
        <f>HYPERLINK("http://www.twitter.com/NathanBLawrence/status/998018430816210944", "998018430816210944")</f>
        <v/>
      </c>
      <c r="B50" s="2" t="n">
        <v>43240.07766203704</v>
      </c>
      <c r="C50" t="n">
        <v>0</v>
      </c>
      <c r="D50" t="n">
        <v>0</v>
      </c>
      <c r="E50" t="s">
        <v>61</v>
      </c>
      <c r="F50" t="s"/>
      <c r="G50" t="s"/>
      <c r="H50" t="s"/>
      <c r="I50" t="s"/>
      <c r="J50" t="n">
        <v>0</v>
      </c>
      <c r="K50" t="n">
        <v>0</v>
      </c>
      <c r="L50" t="n">
        <v>1</v>
      </c>
      <c r="M50" t="n">
        <v>0</v>
      </c>
    </row>
    <row r="51" spans="1:13">
      <c r="A51" s="1">
        <f>HYPERLINK("http://www.twitter.com/NathanBLawrence/status/998012648645189637", "998012648645189637")</f>
        <v/>
      </c>
      <c r="B51" s="2" t="n">
        <v>43240.06171296296</v>
      </c>
      <c r="C51" t="n">
        <v>3</v>
      </c>
      <c r="D51" t="n">
        <v>2</v>
      </c>
      <c r="E51" t="s">
        <v>62</v>
      </c>
      <c r="F51" t="s"/>
      <c r="G51" t="s"/>
      <c r="H51" t="s"/>
      <c r="I51" t="s"/>
      <c r="J51" t="n">
        <v>0</v>
      </c>
      <c r="K51" t="n">
        <v>0</v>
      </c>
      <c r="L51" t="n">
        <v>1</v>
      </c>
      <c r="M51" t="n">
        <v>0</v>
      </c>
    </row>
    <row r="52" spans="1:13">
      <c r="A52" s="1">
        <f>HYPERLINK("http://www.twitter.com/NathanBLawrence/status/998012107747667969", "998012107747667969")</f>
        <v/>
      </c>
      <c r="B52" s="2" t="n">
        <v>43240.06021990741</v>
      </c>
      <c r="C52" t="n">
        <v>0</v>
      </c>
      <c r="D52" t="n">
        <v>0</v>
      </c>
      <c r="E52" t="s">
        <v>63</v>
      </c>
      <c r="F52" t="s"/>
      <c r="G52" t="s"/>
      <c r="H52" t="s"/>
      <c r="I52" t="s"/>
      <c r="J52" t="n">
        <v>0</v>
      </c>
      <c r="K52" t="n">
        <v>0</v>
      </c>
      <c r="L52" t="n">
        <v>1</v>
      </c>
      <c r="M52" t="n">
        <v>0</v>
      </c>
    </row>
    <row r="53" spans="1:13">
      <c r="A53" s="1">
        <f>HYPERLINK("http://www.twitter.com/NathanBLawrence/status/998008298640199680", "998008298640199680")</f>
        <v/>
      </c>
      <c r="B53" s="2" t="n">
        <v>43240.04971064815</v>
      </c>
      <c r="C53" t="n">
        <v>0</v>
      </c>
      <c r="D53" t="n">
        <v>16</v>
      </c>
      <c r="E53" t="s">
        <v>64</v>
      </c>
      <c r="F53" t="s"/>
      <c r="G53" t="s"/>
      <c r="H53" t="s"/>
      <c r="I53" t="s"/>
      <c r="J53" t="n">
        <v>0.6705</v>
      </c>
      <c r="K53" t="n">
        <v>0</v>
      </c>
      <c r="L53" t="n">
        <v>0.776</v>
      </c>
      <c r="M53" t="n">
        <v>0.224</v>
      </c>
    </row>
    <row r="54" spans="1:13">
      <c r="A54" s="1">
        <f>HYPERLINK("http://www.twitter.com/NathanBLawrence/status/997915176656625664", "997915176656625664")</f>
        <v/>
      </c>
      <c r="B54" s="2" t="n">
        <v>43239.79274305556</v>
      </c>
      <c r="C54" t="n">
        <v>0</v>
      </c>
      <c r="D54" t="n">
        <v>10</v>
      </c>
      <c r="E54" t="s">
        <v>65</v>
      </c>
      <c r="F54">
        <f>HYPERLINK("http://pbs.twimg.com/media/DdlMSqYXkAEi4Ll.jpg", "http://pbs.twimg.com/media/DdlMSqYXkAEi4Ll.jpg")</f>
        <v/>
      </c>
      <c r="G54" t="s"/>
      <c r="H54" t="s"/>
      <c r="I54" t="s"/>
      <c r="J54" t="n">
        <v>-0.5213</v>
      </c>
      <c r="K54" t="n">
        <v>0.179</v>
      </c>
      <c r="L54" t="n">
        <v>0.821</v>
      </c>
      <c r="M54" t="n">
        <v>0</v>
      </c>
    </row>
    <row r="55" spans="1:13">
      <c r="A55" s="1">
        <f>HYPERLINK("http://www.twitter.com/NathanBLawrence/status/997914380208607232", "997914380208607232")</f>
        <v/>
      </c>
      <c r="B55" s="2" t="n">
        <v>43239.79054398148</v>
      </c>
      <c r="C55" t="n">
        <v>1</v>
      </c>
      <c r="D55" t="n">
        <v>0</v>
      </c>
      <c r="E55" t="s">
        <v>66</v>
      </c>
      <c r="F55" t="s"/>
      <c r="G55" t="s"/>
      <c r="H55" t="s"/>
      <c r="I55" t="s"/>
      <c r="J55" t="n">
        <v>0.7644</v>
      </c>
      <c r="K55" t="n">
        <v>0</v>
      </c>
      <c r="L55" t="n">
        <v>0.378</v>
      </c>
      <c r="M55" t="n">
        <v>0.622</v>
      </c>
    </row>
    <row r="56" spans="1:13">
      <c r="A56" s="1">
        <f>HYPERLINK("http://www.twitter.com/NathanBLawrence/status/997769731682766848", "997769731682766848")</f>
        <v/>
      </c>
      <c r="B56" s="2" t="n">
        <v>43239.39138888889</v>
      </c>
      <c r="C56" t="n">
        <v>0</v>
      </c>
      <c r="D56" t="n">
        <v>4</v>
      </c>
      <c r="E56" t="s">
        <v>67</v>
      </c>
      <c r="F56" t="s"/>
      <c r="G56" t="s"/>
      <c r="H56" t="s"/>
      <c r="I56" t="s"/>
      <c r="J56" t="n">
        <v>0.4588</v>
      </c>
      <c r="K56" t="n">
        <v>0</v>
      </c>
      <c r="L56" t="n">
        <v>0.826</v>
      </c>
      <c r="M56" t="n">
        <v>0.174</v>
      </c>
    </row>
    <row r="57" spans="1:13">
      <c r="A57" s="1">
        <f>HYPERLINK("http://www.twitter.com/NathanBLawrence/status/997684564490407936", "997684564490407936")</f>
        <v/>
      </c>
      <c r="B57" s="2" t="n">
        <v>43239.15636574074</v>
      </c>
      <c r="C57" t="n">
        <v>1</v>
      </c>
      <c r="D57" t="n">
        <v>0</v>
      </c>
      <c r="E57" t="s">
        <v>68</v>
      </c>
      <c r="F57" t="s"/>
      <c r="G57" t="s"/>
      <c r="H57" t="s"/>
      <c r="I57" t="s"/>
      <c r="J57" t="n">
        <v>0.6808</v>
      </c>
      <c r="K57" t="n">
        <v>0</v>
      </c>
      <c r="L57" t="n">
        <v>0.663</v>
      </c>
      <c r="M57" t="n">
        <v>0.337</v>
      </c>
    </row>
    <row r="58" spans="1:13">
      <c r="A58" s="1">
        <f>HYPERLINK("http://www.twitter.com/NathanBLawrence/status/997684060750311429", "997684060750311429")</f>
        <v/>
      </c>
      <c r="B58" s="2" t="n">
        <v>43239.15497685185</v>
      </c>
      <c r="C58" t="n">
        <v>0</v>
      </c>
      <c r="D58" t="n">
        <v>157</v>
      </c>
      <c r="E58" t="s">
        <v>69</v>
      </c>
      <c r="F58" t="s"/>
      <c r="G58" t="s"/>
      <c r="H58" t="s"/>
      <c r="I58" t="s"/>
      <c r="J58" t="n">
        <v>-0.9545</v>
      </c>
      <c r="K58" t="n">
        <v>0.506</v>
      </c>
      <c r="L58" t="n">
        <v>0.494</v>
      </c>
      <c r="M58" t="n">
        <v>0</v>
      </c>
    </row>
    <row r="59" spans="1:13">
      <c r="A59" s="1">
        <f>HYPERLINK("http://www.twitter.com/NathanBLawrence/status/997682839591284737", "997682839591284737")</f>
        <v/>
      </c>
      <c r="B59" s="2" t="n">
        <v>43239.1516087963</v>
      </c>
      <c r="C59" t="n">
        <v>0</v>
      </c>
      <c r="D59" t="n">
        <v>29320</v>
      </c>
      <c r="E59" t="s">
        <v>70</v>
      </c>
      <c r="F59" t="s"/>
      <c r="G59" t="s"/>
      <c r="H59" t="s"/>
      <c r="I59" t="s"/>
      <c r="J59" t="n">
        <v>-0.3875</v>
      </c>
      <c r="K59" t="n">
        <v>0.193</v>
      </c>
      <c r="L59" t="n">
        <v>0.8070000000000001</v>
      </c>
      <c r="M59" t="n">
        <v>0</v>
      </c>
    </row>
    <row r="60" spans="1:13">
      <c r="A60" s="1">
        <f>HYPERLINK("http://www.twitter.com/NathanBLawrence/status/997680734050705410", "997680734050705410")</f>
        <v/>
      </c>
      <c r="B60" s="2" t="n">
        <v>43239.14579861111</v>
      </c>
      <c r="C60" t="n">
        <v>0</v>
      </c>
      <c r="D60" t="n">
        <v>0</v>
      </c>
      <c r="E60" t="s">
        <v>71</v>
      </c>
      <c r="F60" t="s"/>
      <c r="G60" t="s"/>
      <c r="H60" t="s"/>
      <c r="I60" t="s"/>
      <c r="J60" t="n">
        <v>-0.34</v>
      </c>
      <c r="K60" t="n">
        <v>0.094</v>
      </c>
      <c r="L60" t="n">
        <v>0.906</v>
      </c>
      <c r="M60" t="n">
        <v>0</v>
      </c>
    </row>
    <row r="61" spans="1:13">
      <c r="A61" s="1">
        <f>HYPERLINK("http://www.twitter.com/NathanBLawrence/status/997678737285099521", "997678737285099521")</f>
        <v/>
      </c>
      <c r="B61" s="2" t="n">
        <v>43239.14028935185</v>
      </c>
      <c r="C61" t="n">
        <v>0</v>
      </c>
      <c r="D61" t="n">
        <v>467</v>
      </c>
      <c r="E61" t="s">
        <v>72</v>
      </c>
      <c r="F61" t="s"/>
      <c r="G61" t="s"/>
      <c r="H61" t="s"/>
      <c r="I61" t="s"/>
      <c r="J61" t="n">
        <v>-0.789</v>
      </c>
      <c r="K61" t="n">
        <v>0.35</v>
      </c>
      <c r="L61" t="n">
        <v>0.53</v>
      </c>
      <c r="M61" t="n">
        <v>0.119</v>
      </c>
    </row>
    <row r="62" spans="1:13">
      <c r="A62" s="1">
        <f>HYPERLINK("http://www.twitter.com/NathanBLawrence/status/997670696477216769", "997670696477216769")</f>
        <v/>
      </c>
      <c r="B62" s="2" t="n">
        <v>43239.11810185185</v>
      </c>
      <c r="C62" t="n">
        <v>1</v>
      </c>
      <c r="D62" t="n">
        <v>0</v>
      </c>
      <c r="E62" t="s">
        <v>73</v>
      </c>
      <c r="F62" t="s"/>
      <c r="G62" t="s"/>
      <c r="H62" t="s"/>
      <c r="I62" t="s"/>
      <c r="J62" t="n">
        <v>0.8122</v>
      </c>
      <c r="K62" t="n">
        <v>0</v>
      </c>
      <c r="L62" t="n">
        <v>0.73</v>
      </c>
      <c r="M62" t="n">
        <v>0.27</v>
      </c>
    </row>
    <row r="63" spans="1:13">
      <c r="A63" s="1">
        <f>HYPERLINK("http://www.twitter.com/NathanBLawrence/status/997669059993972736", "997669059993972736")</f>
        <v/>
      </c>
      <c r="B63" s="2" t="n">
        <v>43239.11358796297</v>
      </c>
      <c r="C63" t="n">
        <v>1</v>
      </c>
      <c r="D63" t="n">
        <v>0</v>
      </c>
      <c r="E63" t="s">
        <v>74</v>
      </c>
      <c r="F63" t="s"/>
      <c r="G63" t="s"/>
      <c r="H63" t="s"/>
      <c r="I63" t="s"/>
      <c r="J63" t="n">
        <v>0.7701</v>
      </c>
      <c r="K63" t="n">
        <v>0</v>
      </c>
      <c r="L63" t="n">
        <v>0.6</v>
      </c>
      <c r="M63" t="n">
        <v>0.4</v>
      </c>
    </row>
    <row r="64" spans="1:13">
      <c r="A64" s="1">
        <f>HYPERLINK("http://www.twitter.com/NathanBLawrence/status/997565141557366785", "997565141557366785")</f>
        <v/>
      </c>
      <c r="B64" s="2" t="n">
        <v>43238.82682870371</v>
      </c>
      <c r="C64" t="n">
        <v>1</v>
      </c>
      <c r="D64" t="n">
        <v>0</v>
      </c>
      <c r="E64" t="s">
        <v>75</v>
      </c>
      <c r="F64" t="s"/>
      <c r="G64" t="s"/>
      <c r="H64" t="s"/>
      <c r="I64" t="s"/>
      <c r="J64" t="n">
        <v>0</v>
      </c>
      <c r="K64" t="n">
        <v>0</v>
      </c>
      <c r="L64" t="n">
        <v>1</v>
      </c>
      <c r="M64" t="n">
        <v>0</v>
      </c>
    </row>
    <row r="65" spans="1:13">
      <c r="A65" s="1">
        <f>HYPERLINK("http://www.twitter.com/NathanBLawrence/status/997564843162038272", "997564843162038272")</f>
        <v/>
      </c>
      <c r="B65" s="2" t="n">
        <v>43238.82600694444</v>
      </c>
      <c r="C65" t="n">
        <v>2</v>
      </c>
      <c r="D65" t="n">
        <v>0</v>
      </c>
      <c r="E65" t="s">
        <v>76</v>
      </c>
      <c r="F65" t="s"/>
      <c r="G65" t="s"/>
      <c r="H65" t="s"/>
      <c r="I65" t="s"/>
      <c r="J65" t="n">
        <v>-0.1189</v>
      </c>
      <c r="K65" t="n">
        <v>0.114</v>
      </c>
      <c r="L65" t="n">
        <v>0.79</v>
      </c>
      <c r="M65" t="n">
        <v>0.097</v>
      </c>
    </row>
    <row r="66" spans="1:13">
      <c r="A66" s="1">
        <f>HYPERLINK("http://www.twitter.com/NathanBLawrence/status/997554944424243201", "997554944424243201")</f>
        <v/>
      </c>
      <c r="B66" s="2" t="n">
        <v>43238.79869212963</v>
      </c>
      <c r="C66" t="n">
        <v>4</v>
      </c>
      <c r="D66" t="n">
        <v>0</v>
      </c>
      <c r="E66" t="s">
        <v>77</v>
      </c>
      <c r="F66" t="s"/>
      <c r="G66" t="s"/>
      <c r="H66" t="s"/>
      <c r="I66" t="s"/>
      <c r="J66" t="n">
        <v>0</v>
      </c>
      <c r="K66" t="n">
        <v>0</v>
      </c>
      <c r="L66" t="n">
        <v>1</v>
      </c>
      <c r="M66" t="n">
        <v>0</v>
      </c>
    </row>
    <row r="67" spans="1:13">
      <c r="A67" s="1">
        <f>HYPERLINK("http://www.twitter.com/NathanBLawrence/status/997547748907012096", "997547748907012096")</f>
        <v/>
      </c>
      <c r="B67" s="2" t="n">
        <v>43238.77883101852</v>
      </c>
      <c r="C67" t="n">
        <v>0</v>
      </c>
      <c r="D67" t="n">
        <v>0</v>
      </c>
      <c r="E67" t="s">
        <v>78</v>
      </c>
      <c r="F67" t="s"/>
      <c r="G67" t="s"/>
      <c r="H67" t="s"/>
      <c r="I67" t="s"/>
      <c r="J67" t="n">
        <v>-0.5719</v>
      </c>
      <c r="K67" t="n">
        <v>0.316</v>
      </c>
      <c r="L67" t="n">
        <v>0.585</v>
      </c>
      <c r="M67" t="n">
        <v>0.099</v>
      </c>
    </row>
    <row r="68" spans="1:13">
      <c r="A68" s="1">
        <f>HYPERLINK("http://www.twitter.com/NathanBLawrence/status/997546635734536193", "997546635734536193")</f>
        <v/>
      </c>
      <c r="B68" s="2" t="n">
        <v>43238.77576388889</v>
      </c>
      <c r="C68" t="n">
        <v>0</v>
      </c>
      <c r="D68" t="n">
        <v>0</v>
      </c>
      <c r="E68" t="s">
        <v>79</v>
      </c>
      <c r="F68" t="s"/>
      <c r="G68" t="s"/>
      <c r="H68" t="s"/>
      <c r="I68" t="s"/>
      <c r="J68" t="n">
        <v>0</v>
      </c>
      <c r="K68" t="n">
        <v>0</v>
      </c>
      <c r="L68" t="n">
        <v>1</v>
      </c>
      <c r="M68" t="n">
        <v>0</v>
      </c>
    </row>
    <row r="69" spans="1:13">
      <c r="A69" s="1">
        <f>HYPERLINK("http://www.twitter.com/NathanBLawrence/status/997544032179015680", "997544032179015680")</f>
        <v/>
      </c>
      <c r="B69" s="2" t="n">
        <v>43238.76857638889</v>
      </c>
      <c r="C69" t="n">
        <v>2</v>
      </c>
      <c r="D69" t="n">
        <v>0</v>
      </c>
      <c r="E69" t="s">
        <v>80</v>
      </c>
      <c r="F69" t="s"/>
      <c r="G69" t="s"/>
      <c r="H69" t="s"/>
      <c r="I69" t="s"/>
      <c r="J69" t="n">
        <v>-0.4404</v>
      </c>
      <c r="K69" t="n">
        <v>0.266</v>
      </c>
      <c r="L69" t="n">
        <v>0.734</v>
      </c>
      <c r="M69" t="n">
        <v>0</v>
      </c>
    </row>
    <row r="70" spans="1:13">
      <c r="A70" s="1">
        <f>HYPERLINK("http://www.twitter.com/NathanBLawrence/status/997524483702484993", "997524483702484993")</f>
        <v/>
      </c>
      <c r="B70" s="2" t="n">
        <v>43238.71462962963</v>
      </c>
      <c r="C70" t="n">
        <v>0</v>
      </c>
      <c r="D70" t="n">
        <v>0</v>
      </c>
      <c r="E70" t="s">
        <v>81</v>
      </c>
      <c r="F70" t="s"/>
      <c r="G70" t="s"/>
      <c r="H70" t="s"/>
      <c r="I70" t="s"/>
      <c r="J70" t="n">
        <v>0</v>
      </c>
      <c r="K70" t="n">
        <v>0</v>
      </c>
      <c r="L70" t="n">
        <v>1</v>
      </c>
      <c r="M70" t="n">
        <v>0</v>
      </c>
    </row>
    <row r="71" spans="1:13">
      <c r="A71" s="1">
        <f>HYPERLINK("http://www.twitter.com/NathanBLawrence/status/997524050778951686", "997524050778951686")</f>
        <v/>
      </c>
      <c r="B71" s="2" t="n">
        <v>43238.7134375</v>
      </c>
      <c r="C71" t="n">
        <v>0</v>
      </c>
      <c r="D71" t="n">
        <v>0</v>
      </c>
      <c r="E71" t="s">
        <v>82</v>
      </c>
      <c r="F71" t="s"/>
      <c r="G71" t="s"/>
      <c r="H71" t="s"/>
      <c r="I71" t="s"/>
      <c r="J71" t="n">
        <v>0</v>
      </c>
      <c r="K71" t="n">
        <v>0</v>
      </c>
      <c r="L71" t="n">
        <v>1</v>
      </c>
      <c r="M71" t="n">
        <v>0</v>
      </c>
    </row>
    <row r="72" spans="1:13">
      <c r="A72" s="1">
        <f>HYPERLINK("http://www.twitter.com/NathanBLawrence/status/997523949020856320", "997523949020856320")</f>
        <v/>
      </c>
      <c r="B72" s="2" t="n">
        <v>43238.71315972223</v>
      </c>
      <c r="C72" t="n">
        <v>0</v>
      </c>
      <c r="D72" t="n">
        <v>0</v>
      </c>
      <c r="E72" t="s">
        <v>83</v>
      </c>
      <c r="F72" t="s"/>
      <c r="G72" t="s"/>
      <c r="H72" t="s"/>
      <c r="I72" t="s"/>
      <c r="J72" t="n">
        <v>0</v>
      </c>
      <c r="K72" t="n">
        <v>0</v>
      </c>
      <c r="L72" t="n">
        <v>1</v>
      </c>
      <c r="M72" t="n">
        <v>0</v>
      </c>
    </row>
    <row r="73" spans="1:13">
      <c r="A73" s="1">
        <f>HYPERLINK("http://www.twitter.com/NathanBLawrence/status/997523361218678785", "997523361218678785")</f>
        <v/>
      </c>
      <c r="B73" s="2" t="n">
        <v>43238.71153935185</v>
      </c>
      <c r="C73" t="n">
        <v>0</v>
      </c>
      <c r="D73" t="n">
        <v>11</v>
      </c>
      <c r="E73" t="s">
        <v>84</v>
      </c>
      <c r="F73" t="s"/>
      <c r="G73" t="s"/>
      <c r="H73" t="s"/>
      <c r="I73" t="s"/>
      <c r="J73" t="n">
        <v>0.4767</v>
      </c>
      <c r="K73" t="n">
        <v>0</v>
      </c>
      <c r="L73" t="n">
        <v>0.876</v>
      </c>
      <c r="M73" t="n">
        <v>0.124</v>
      </c>
    </row>
    <row r="74" spans="1:13">
      <c r="A74" s="1">
        <f>HYPERLINK("http://www.twitter.com/NathanBLawrence/status/997514614530244614", "997514614530244614")</f>
        <v/>
      </c>
      <c r="B74" s="2" t="n">
        <v>43238.68739583333</v>
      </c>
      <c r="C74" t="n">
        <v>0</v>
      </c>
      <c r="D74" t="n">
        <v>0</v>
      </c>
      <c r="E74" t="s">
        <v>85</v>
      </c>
      <c r="F74" t="s"/>
      <c r="G74" t="s"/>
      <c r="H74" t="s"/>
      <c r="I74" t="s"/>
      <c r="J74" t="n">
        <v>0.5266999999999999</v>
      </c>
      <c r="K74" t="n">
        <v>0</v>
      </c>
      <c r="L74" t="n">
        <v>0.825</v>
      </c>
      <c r="M74" t="n">
        <v>0.175</v>
      </c>
    </row>
    <row r="75" spans="1:13">
      <c r="A75" s="1">
        <f>HYPERLINK("http://www.twitter.com/NathanBLawrence/status/997513933601804288", "997513933601804288")</f>
        <v/>
      </c>
      <c r="B75" s="2" t="n">
        <v>43238.68552083334</v>
      </c>
      <c r="C75" t="n">
        <v>0</v>
      </c>
      <c r="D75" t="n">
        <v>0</v>
      </c>
      <c r="E75" t="s">
        <v>86</v>
      </c>
      <c r="F75" t="s"/>
      <c r="G75" t="s"/>
      <c r="H75" t="s"/>
      <c r="I75" t="s"/>
      <c r="J75" t="n">
        <v>0</v>
      </c>
      <c r="K75" t="n">
        <v>0</v>
      </c>
      <c r="L75" t="n">
        <v>1</v>
      </c>
      <c r="M75" t="n">
        <v>0</v>
      </c>
    </row>
    <row r="76" spans="1:13">
      <c r="A76" s="1">
        <f>HYPERLINK("http://www.twitter.com/NathanBLawrence/status/997513857970114560", "997513857970114560")</f>
        <v/>
      </c>
      <c r="B76" s="2" t="n">
        <v>43238.6853125</v>
      </c>
      <c r="C76" t="n">
        <v>1</v>
      </c>
      <c r="D76" t="n">
        <v>0</v>
      </c>
      <c r="E76" t="s">
        <v>87</v>
      </c>
      <c r="F76" t="s"/>
      <c r="G76" t="s"/>
      <c r="H76" t="s"/>
      <c r="I76" t="s"/>
      <c r="J76" t="n">
        <v>0.765</v>
      </c>
      <c r="K76" t="n">
        <v>0</v>
      </c>
      <c r="L76" t="n">
        <v>0.476</v>
      </c>
      <c r="M76" t="n">
        <v>0.524</v>
      </c>
    </row>
    <row r="77" spans="1:13">
      <c r="A77" s="1">
        <f>HYPERLINK("http://www.twitter.com/NathanBLawrence/status/997513360542519298", "997513360542519298")</f>
        <v/>
      </c>
      <c r="B77" s="2" t="n">
        <v>43238.68393518519</v>
      </c>
      <c r="C77" t="n">
        <v>0</v>
      </c>
      <c r="D77" t="n">
        <v>2</v>
      </c>
      <c r="E77" t="s">
        <v>88</v>
      </c>
      <c r="F77" t="s"/>
      <c r="G77" t="s"/>
      <c r="H77" t="s"/>
      <c r="I77" t="s"/>
      <c r="J77" t="n">
        <v>0.4574</v>
      </c>
      <c r="K77" t="n">
        <v>0</v>
      </c>
      <c r="L77" t="n">
        <v>0.751</v>
      </c>
      <c r="M77" t="n">
        <v>0.249</v>
      </c>
    </row>
    <row r="78" spans="1:13">
      <c r="A78" s="1">
        <f>HYPERLINK("http://www.twitter.com/NathanBLawrence/status/997499863226114048", "997499863226114048")</f>
        <v/>
      </c>
      <c r="B78" s="2" t="n">
        <v>43238.64668981481</v>
      </c>
      <c r="C78" t="n">
        <v>0</v>
      </c>
      <c r="D78" t="n">
        <v>32</v>
      </c>
      <c r="E78" t="s">
        <v>89</v>
      </c>
      <c r="F78" t="s"/>
      <c r="G78" t="s"/>
      <c r="H78" t="s"/>
      <c r="I78" t="s"/>
      <c r="J78" t="n">
        <v>-0.2462</v>
      </c>
      <c r="K78" t="n">
        <v>0.135</v>
      </c>
      <c r="L78" t="n">
        <v>0.777</v>
      </c>
      <c r="M78" t="n">
        <v>0.08699999999999999</v>
      </c>
    </row>
    <row r="79" spans="1:13">
      <c r="A79" s="1">
        <f>HYPERLINK("http://www.twitter.com/NathanBLawrence/status/997488235881357317", "997488235881357317")</f>
        <v/>
      </c>
      <c r="B79" s="2" t="n">
        <v>43238.61460648148</v>
      </c>
      <c r="C79" t="n">
        <v>0</v>
      </c>
      <c r="D79" t="n">
        <v>15</v>
      </c>
      <c r="E79" t="s">
        <v>90</v>
      </c>
      <c r="F79">
        <f>HYPERLINK("http://pbs.twimg.com/media/DdfJF3VU8AAJguQ.jpg", "http://pbs.twimg.com/media/DdfJF3VU8AAJguQ.jpg")</f>
        <v/>
      </c>
      <c r="G79" t="s"/>
      <c r="H79" t="s"/>
      <c r="I79" t="s"/>
      <c r="J79" t="n">
        <v>0.4404</v>
      </c>
      <c r="K79" t="n">
        <v>0</v>
      </c>
      <c r="L79" t="n">
        <v>0.892</v>
      </c>
      <c r="M79" t="n">
        <v>0.108</v>
      </c>
    </row>
    <row r="80" spans="1:13">
      <c r="A80" s="1">
        <f>HYPERLINK("http://www.twitter.com/NathanBLawrence/status/997471399852888064", "997471399852888064")</f>
        <v/>
      </c>
      <c r="B80" s="2" t="n">
        <v>43238.56814814815</v>
      </c>
      <c r="C80" t="n">
        <v>0</v>
      </c>
      <c r="D80" t="n">
        <v>0</v>
      </c>
      <c r="E80" t="s">
        <v>91</v>
      </c>
      <c r="F80" t="s"/>
      <c r="G80" t="s"/>
      <c r="H80" t="s"/>
      <c r="I80" t="s"/>
      <c r="J80" t="n">
        <v>0</v>
      </c>
      <c r="K80" t="n">
        <v>0</v>
      </c>
      <c r="L80" t="n">
        <v>1</v>
      </c>
      <c r="M80" t="n">
        <v>0</v>
      </c>
    </row>
    <row r="81" spans="1:13">
      <c r="A81" s="1">
        <f>HYPERLINK("http://www.twitter.com/NathanBLawrence/status/997462392614342656", "997462392614342656")</f>
        <v/>
      </c>
      <c r="B81" s="2" t="n">
        <v>43238.54329861111</v>
      </c>
      <c r="C81" t="n">
        <v>1</v>
      </c>
      <c r="D81" t="n">
        <v>1</v>
      </c>
      <c r="E81" t="s">
        <v>92</v>
      </c>
      <c r="F81" t="s"/>
      <c r="G81" t="s"/>
      <c r="H81" t="s"/>
      <c r="I81" t="s"/>
      <c r="J81" t="n">
        <v>0</v>
      </c>
      <c r="K81" t="n">
        <v>0</v>
      </c>
      <c r="L81" t="n">
        <v>1</v>
      </c>
      <c r="M81" t="n">
        <v>0</v>
      </c>
    </row>
    <row r="82" spans="1:13">
      <c r="A82" s="1">
        <f>HYPERLINK("http://www.twitter.com/NathanBLawrence/status/997458697789104128", "997458697789104128")</f>
        <v/>
      </c>
      <c r="B82" s="2" t="n">
        <v>43238.53310185186</v>
      </c>
      <c r="C82" t="n">
        <v>3</v>
      </c>
      <c r="D82" t="n">
        <v>0</v>
      </c>
      <c r="E82" t="s">
        <v>93</v>
      </c>
      <c r="F82" t="s"/>
      <c r="G82" t="s"/>
      <c r="H82" t="s"/>
      <c r="I82" t="s"/>
      <c r="J82" t="n">
        <v>0</v>
      </c>
      <c r="K82" t="n">
        <v>0</v>
      </c>
      <c r="L82" t="n">
        <v>1</v>
      </c>
      <c r="M82" t="n">
        <v>0</v>
      </c>
    </row>
    <row r="83" spans="1:13">
      <c r="A83" s="1">
        <f>HYPERLINK("http://www.twitter.com/NathanBLawrence/status/997457064652886016", "997457064652886016")</f>
        <v/>
      </c>
      <c r="B83" s="2" t="n">
        <v>43238.52858796297</v>
      </c>
      <c r="C83" t="n">
        <v>0</v>
      </c>
      <c r="D83" t="n">
        <v>0</v>
      </c>
      <c r="E83" t="s">
        <v>94</v>
      </c>
      <c r="F83" t="s"/>
      <c r="G83" t="s"/>
      <c r="H83" t="s"/>
      <c r="I83" t="s"/>
      <c r="J83" t="n">
        <v>0</v>
      </c>
      <c r="K83" t="n">
        <v>0</v>
      </c>
      <c r="L83" t="n">
        <v>1</v>
      </c>
      <c r="M83" t="n">
        <v>0</v>
      </c>
    </row>
    <row r="84" spans="1:13">
      <c r="A84" s="1">
        <f>HYPERLINK("http://www.twitter.com/NathanBLawrence/status/997317048127709184", "997317048127709184")</f>
        <v/>
      </c>
      <c r="B84" s="2" t="n">
        <v>43238.14222222222</v>
      </c>
      <c r="C84" t="n">
        <v>2</v>
      </c>
      <c r="D84" t="n">
        <v>0</v>
      </c>
      <c r="E84" t="s">
        <v>95</v>
      </c>
      <c r="F84" t="s"/>
      <c r="G84" t="s"/>
      <c r="H84" t="s"/>
      <c r="I84" t="s"/>
      <c r="J84" t="n">
        <v>0</v>
      </c>
      <c r="K84" t="n">
        <v>0</v>
      </c>
      <c r="L84" t="n">
        <v>1</v>
      </c>
      <c r="M84" t="n">
        <v>0</v>
      </c>
    </row>
    <row r="85" spans="1:13">
      <c r="A85" s="1">
        <f>HYPERLINK("http://www.twitter.com/NathanBLawrence/status/997316706778349574", "997316706778349574")</f>
        <v/>
      </c>
      <c r="B85" s="2" t="n">
        <v>43238.14127314815</v>
      </c>
      <c r="C85" t="n">
        <v>0</v>
      </c>
      <c r="D85" t="n">
        <v>7</v>
      </c>
      <c r="E85" t="s">
        <v>96</v>
      </c>
      <c r="F85" t="s"/>
      <c r="G85" t="s"/>
      <c r="H85" t="s"/>
      <c r="I85" t="s"/>
      <c r="J85" t="n">
        <v>-0.6808</v>
      </c>
      <c r="K85" t="n">
        <v>0.258</v>
      </c>
      <c r="L85" t="n">
        <v>0.66</v>
      </c>
      <c r="M85" t="n">
        <v>0.082</v>
      </c>
    </row>
    <row r="86" spans="1:13">
      <c r="A86" s="1">
        <f>HYPERLINK("http://www.twitter.com/NathanBLawrence/status/997316472472002560", "997316472472002560")</f>
        <v/>
      </c>
      <c r="B86" s="2" t="n">
        <v>43238.140625</v>
      </c>
      <c r="C86" t="n">
        <v>7</v>
      </c>
      <c r="D86" t="n">
        <v>2</v>
      </c>
      <c r="E86" t="s">
        <v>97</v>
      </c>
      <c r="F86" t="s"/>
      <c r="G86" t="s"/>
      <c r="H86" t="s"/>
      <c r="I86" t="s"/>
      <c r="J86" t="n">
        <v>0.5204</v>
      </c>
      <c r="K86" t="n">
        <v>0</v>
      </c>
      <c r="L86" t="n">
        <v>0.877</v>
      </c>
      <c r="M86" t="n">
        <v>0.123</v>
      </c>
    </row>
    <row r="87" spans="1:13">
      <c r="A87" s="1">
        <f>HYPERLINK("http://www.twitter.com/NathanBLawrence/status/997315272099991554", "997315272099991554")</f>
        <v/>
      </c>
      <c r="B87" s="2" t="n">
        <v>43238.13731481481</v>
      </c>
      <c r="C87" t="n">
        <v>0</v>
      </c>
      <c r="D87" t="n">
        <v>0</v>
      </c>
      <c r="E87" t="s">
        <v>98</v>
      </c>
      <c r="F87" t="s"/>
      <c r="G87" t="s"/>
      <c r="H87" t="s"/>
      <c r="I87" t="s"/>
      <c r="J87" t="n">
        <v>0</v>
      </c>
      <c r="K87" t="n">
        <v>0</v>
      </c>
      <c r="L87" t="n">
        <v>1</v>
      </c>
      <c r="M87" t="n">
        <v>0</v>
      </c>
    </row>
    <row r="88" spans="1:13">
      <c r="A88" s="1">
        <f>HYPERLINK("http://www.twitter.com/NathanBLawrence/status/997310137953148928", "997310137953148928")</f>
        <v/>
      </c>
      <c r="B88" s="2" t="n">
        <v>43238.12314814814</v>
      </c>
      <c r="C88" t="n">
        <v>0</v>
      </c>
      <c r="D88" t="n">
        <v>7</v>
      </c>
      <c r="E88" t="s">
        <v>99</v>
      </c>
      <c r="F88" t="s"/>
      <c r="G88" t="s"/>
      <c r="H88" t="s"/>
      <c r="I88" t="s"/>
      <c r="J88" t="n">
        <v>0.4019</v>
      </c>
      <c r="K88" t="n">
        <v>0</v>
      </c>
      <c r="L88" t="n">
        <v>0.8159999999999999</v>
      </c>
      <c r="M88" t="n">
        <v>0.184</v>
      </c>
    </row>
    <row r="89" spans="1:13">
      <c r="A89" s="1">
        <f>HYPERLINK("http://www.twitter.com/NathanBLawrence/status/997214787468742657", "997214787468742657")</f>
        <v/>
      </c>
      <c r="B89" s="2" t="n">
        <v>43237.86003472222</v>
      </c>
      <c r="C89" t="n">
        <v>0</v>
      </c>
      <c r="D89" t="n">
        <v>4</v>
      </c>
      <c r="E89" t="s">
        <v>100</v>
      </c>
      <c r="F89" t="s"/>
      <c r="G89" t="s"/>
      <c r="H89" t="s"/>
      <c r="I89" t="s"/>
      <c r="J89" t="n">
        <v>0.7351</v>
      </c>
      <c r="K89" t="n">
        <v>0</v>
      </c>
      <c r="L89" t="n">
        <v>0.78</v>
      </c>
      <c r="M89" t="n">
        <v>0.22</v>
      </c>
    </row>
    <row r="90" spans="1:13">
      <c r="A90" s="1">
        <f>HYPERLINK("http://www.twitter.com/NathanBLawrence/status/997214723186872320", "997214723186872320")</f>
        <v/>
      </c>
      <c r="B90" s="2" t="n">
        <v>43237.85986111111</v>
      </c>
      <c r="C90" t="n">
        <v>2</v>
      </c>
      <c r="D90" t="n">
        <v>1</v>
      </c>
      <c r="E90" t="s">
        <v>101</v>
      </c>
      <c r="F90" t="s"/>
      <c r="G90" t="s"/>
      <c r="H90" t="s"/>
      <c r="I90" t="s"/>
      <c r="J90" t="n">
        <v>0</v>
      </c>
      <c r="K90" t="n">
        <v>0</v>
      </c>
      <c r="L90" t="n">
        <v>1</v>
      </c>
      <c r="M90" t="n">
        <v>0</v>
      </c>
    </row>
    <row r="91" spans="1:13">
      <c r="A91" s="1">
        <f>HYPERLINK("http://www.twitter.com/NathanBLawrence/status/997200179118952448", "997200179118952448")</f>
        <v/>
      </c>
      <c r="B91" s="2" t="n">
        <v>43237.81972222222</v>
      </c>
      <c r="C91" t="n">
        <v>2</v>
      </c>
      <c r="D91" t="n">
        <v>1</v>
      </c>
      <c r="E91" t="s">
        <v>102</v>
      </c>
      <c r="F91" t="s"/>
      <c r="G91" t="s"/>
      <c r="H91" t="s"/>
      <c r="I91" t="s"/>
      <c r="J91" t="n">
        <v>-0.3753</v>
      </c>
      <c r="K91" t="n">
        <v>0.096</v>
      </c>
      <c r="L91" t="n">
        <v>0.853</v>
      </c>
      <c r="M91" t="n">
        <v>0.051</v>
      </c>
    </row>
    <row r="92" spans="1:13">
      <c r="A92" s="1">
        <f>HYPERLINK("http://www.twitter.com/NathanBLawrence/status/997194506712776705", "997194506712776705")</f>
        <v/>
      </c>
      <c r="B92" s="2" t="n">
        <v>43237.80407407408</v>
      </c>
      <c r="C92" t="n">
        <v>2</v>
      </c>
      <c r="D92" t="n">
        <v>0</v>
      </c>
      <c r="E92" t="s">
        <v>103</v>
      </c>
      <c r="F92" t="s"/>
      <c r="G92" t="s"/>
      <c r="H92" t="s"/>
      <c r="I92" t="s"/>
      <c r="J92" t="n">
        <v>0.3612</v>
      </c>
      <c r="K92" t="n">
        <v>0</v>
      </c>
      <c r="L92" t="n">
        <v>0.878</v>
      </c>
      <c r="M92" t="n">
        <v>0.122</v>
      </c>
    </row>
    <row r="93" spans="1:13">
      <c r="A93" s="1">
        <f>HYPERLINK("http://www.twitter.com/NathanBLawrence/status/997129091005472768", "997129091005472768")</f>
        <v/>
      </c>
      <c r="B93" s="2" t="n">
        <v>43237.62355324074</v>
      </c>
      <c r="C93" t="n">
        <v>0</v>
      </c>
      <c r="D93" t="n">
        <v>0</v>
      </c>
      <c r="E93" t="s">
        <v>104</v>
      </c>
      <c r="F93" t="s"/>
      <c r="G93" t="s"/>
      <c r="H93" t="s"/>
      <c r="I93" t="s"/>
      <c r="J93" t="n">
        <v>-0.2263</v>
      </c>
      <c r="K93" t="n">
        <v>0.213</v>
      </c>
      <c r="L93" t="n">
        <v>0.787</v>
      </c>
      <c r="M93" t="n">
        <v>0</v>
      </c>
    </row>
    <row r="94" spans="1:13">
      <c r="A94" s="1">
        <f>HYPERLINK("http://www.twitter.com/NathanBLawrence/status/997116915767226368", "997116915767226368")</f>
        <v/>
      </c>
      <c r="B94" s="2" t="n">
        <v>43237.5899537037</v>
      </c>
      <c r="C94" t="n">
        <v>5</v>
      </c>
      <c r="D94" t="n">
        <v>6</v>
      </c>
      <c r="E94" t="s">
        <v>105</v>
      </c>
      <c r="F94" t="s"/>
      <c r="G94" t="s"/>
      <c r="H94" t="s"/>
      <c r="I94" t="s"/>
      <c r="J94" t="n">
        <v>0.76</v>
      </c>
      <c r="K94" t="n">
        <v>0.06900000000000001</v>
      </c>
      <c r="L94" t="n">
        <v>0.671</v>
      </c>
      <c r="M94" t="n">
        <v>0.26</v>
      </c>
    </row>
    <row r="95" spans="1:13">
      <c r="A95" s="1">
        <f>HYPERLINK("http://www.twitter.com/NathanBLawrence/status/997115862392950784", "997115862392950784")</f>
        <v/>
      </c>
      <c r="B95" s="2" t="n">
        <v>43237.58704861111</v>
      </c>
      <c r="C95" t="n">
        <v>0</v>
      </c>
      <c r="D95" t="n">
        <v>0</v>
      </c>
      <c r="E95" t="s">
        <v>106</v>
      </c>
      <c r="F95" t="s"/>
      <c r="G95" t="s"/>
      <c r="H95" t="s"/>
      <c r="I95" t="s"/>
      <c r="J95" t="n">
        <v>0</v>
      </c>
      <c r="K95" t="n">
        <v>0</v>
      </c>
      <c r="L95" t="n">
        <v>1</v>
      </c>
      <c r="M95" t="n">
        <v>0</v>
      </c>
    </row>
    <row r="96" spans="1:13">
      <c r="A96" s="1">
        <f>HYPERLINK("http://www.twitter.com/NathanBLawrence/status/997115310728712192", "997115310728712192")</f>
        <v/>
      </c>
      <c r="B96" s="2" t="n">
        <v>43237.58553240741</v>
      </c>
      <c r="C96" t="n">
        <v>3</v>
      </c>
      <c r="D96" t="n">
        <v>2</v>
      </c>
      <c r="E96" t="s">
        <v>107</v>
      </c>
      <c r="F96" t="s"/>
      <c r="G96" t="s"/>
      <c r="H96" t="s"/>
      <c r="I96" t="s"/>
      <c r="J96" t="n">
        <v>0.128</v>
      </c>
      <c r="K96" t="n">
        <v>0.112</v>
      </c>
      <c r="L96" t="n">
        <v>0.749</v>
      </c>
      <c r="M96" t="n">
        <v>0.139</v>
      </c>
    </row>
    <row r="97" spans="1:13">
      <c r="A97" s="1">
        <f>HYPERLINK("http://www.twitter.com/NathanBLawrence/status/997114181479432193", "997114181479432193")</f>
        <v/>
      </c>
      <c r="B97" s="2" t="n">
        <v>43237.58241898148</v>
      </c>
      <c r="C97" t="n">
        <v>0</v>
      </c>
      <c r="D97" t="n">
        <v>0</v>
      </c>
      <c r="E97" t="s">
        <v>108</v>
      </c>
      <c r="F97" t="s"/>
      <c r="G97" t="s"/>
      <c r="H97" t="s"/>
      <c r="I97" t="s"/>
      <c r="J97" t="n">
        <v>-0.5661</v>
      </c>
      <c r="K97" t="n">
        <v>0.314</v>
      </c>
      <c r="L97" t="n">
        <v>0.6860000000000001</v>
      </c>
      <c r="M97" t="n">
        <v>0</v>
      </c>
    </row>
    <row r="98" spans="1:13">
      <c r="A98" s="1">
        <f>HYPERLINK("http://www.twitter.com/NathanBLawrence/status/997106137471254528", "997106137471254528")</f>
        <v/>
      </c>
      <c r="B98" s="2" t="n">
        <v>43237.56021990741</v>
      </c>
      <c r="C98" t="n">
        <v>2</v>
      </c>
      <c r="D98" t="n">
        <v>2</v>
      </c>
      <c r="E98" t="s">
        <v>109</v>
      </c>
      <c r="F98" t="s"/>
      <c r="G98" t="s"/>
      <c r="H98" t="s"/>
      <c r="I98" t="s"/>
      <c r="J98" t="n">
        <v>0</v>
      </c>
      <c r="K98" t="n">
        <v>0</v>
      </c>
      <c r="L98" t="n">
        <v>1</v>
      </c>
      <c r="M98" t="n">
        <v>0</v>
      </c>
    </row>
    <row r="99" spans="1:13">
      <c r="A99" s="1">
        <f>HYPERLINK("http://www.twitter.com/NathanBLawrence/status/997099153397374976", "997099153397374976")</f>
        <v/>
      </c>
      <c r="B99" s="2" t="n">
        <v>43237.54094907407</v>
      </c>
      <c r="C99" t="n">
        <v>9</v>
      </c>
      <c r="D99" t="n">
        <v>7</v>
      </c>
      <c r="E99" t="s">
        <v>110</v>
      </c>
      <c r="F99" t="s"/>
      <c r="G99" t="s"/>
      <c r="H99" t="s"/>
      <c r="I99" t="s"/>
      <c r="J99" t="n">
        <v>0.3313</v>
      </c>
      <c r="K99" t="n">
        <v>0.05</v>
      </c>
      <c r="L99" t="n">
        <v>0.865</v>
      </c>
      <c r="M99" t="n">
        <v>0.08500000000000001</v>
      </c>
    </row>
    <row r="100" spans="1:13">
      <c r="A100" s="1">
        <f>HYPERLINK("http://www.twitter.com/NathanBLawrence/status/997096207360184320", "997096207360184320")</f>
        <v/>
      </c>
      <c r="B100" s="2" t="n">
        <v>43237.5328125</v>
      </c>
      <c r="C100" t="n">
        <v>1</v>
      </c>
      <c r="D100" t="n">
        <v>0</v>
      </c>
      <c r="E100" t="s">
        <v>111</v>
      </c>
      <c r="F100" t="s"/>
      <c r="G100" t="s"/>
      <c r="H100" t="s"/>
      <c r="I100" t="s"/>
      <c r="J100" t="n">
        <v>0</v>
      </c>
      <c r="K100" t="n">
        <v>0</v>
      </c>
      <c r="L100" t="n">
        <v>1</v>
      </c>
      <c r="M100" t="n">
        <v>0</v>
      </c>
    </row>
    <row r="101" spans="1:13">
      <c r="A101" s="1">
        <f>HYPERLINK("http://www.twitter.com/NathanBLawrence/status/997089081036337153", "997089081036337153")</f>
        <v/>
      </c>
      <c r="B101" s="2" t="n">
        <v>43237.51314814815</v>
      </c>
      <c r="C101" t="n">
        <v>0</v>
      </c>
      <c r="D101" t="n">
        <v>9</v>
      </c>
      <c r="E101" t="s">
        <v>112</v>
      </c>
      <c r="F101" t="s"/>
      <c r="G101" t="s"/>
      <c r="H101" t="s"/>
      <c r="I101" t="s"/>
      <c r="J101" t="n">
        <v>0.2081</v>
      </c>
      <c r="K101" t="n">
        <v>0.091</v>
      </c>
      <c r="L101" t="n">
        <v>0.782</v>
      </c>
      <c r="M101" t="n">
        <v>0.127</v>
      </c>
    </row>
    <row r="102" spans="1:13">
      <c r="A102" s="1">
        <f>HYPERLINK("http://www.twitter.com/NathanBLawrence/status/997087828705193985", "997087828705193985")</f>
        <v/>
      </c>
      <c r="B102" s="2" t="n">
        <v>43237.50969907407</v>
      </c>
      <c r="C102" t="n">
        <v>0</v>
      </c>
      <c r="D102" t="n">
        <v>9</v>
      </c>
      <c r="E102" t="s">
        <v>113</v>
      </c>
      <c r="F102">
        <f>HYPERLINK("http://pbs.twimg.com/media/DdXnzkyVMAAUkLM.jpg", "http://pbs.twimg.com/media/DdXnzkyVMAAUkLM.jpg")</f>
        <v/>
      </c>
      <c r="G102" t="s"/>
      <c r="H102" t="s"/>
      <c r="I102" t="s"/>
      <c r="J102" t="n">
        <v>0</v>
      </c>
      <c r="K102" t="n">
        <v>0</v>
      </c>
      <c r="L102" t="n">
        <v>1</v>
      </c>
      <c r="M102" t="n">
        <v>0</v>
      </c>
    </row>
    <row r="103" spans="1:13">
      <c r="A103" s="1">
        <f>HYPERLINK("http://www.twitter.com/NathanBLawrence/status/996962737006829568", "996962737006829568")</f>
        <v/>
      </c>
      <c r="B103" s="2" t="n">
        <v>43237.16450231482</v>
      </c>
      <c r="C103" t="n">
        <v>4</v>
      </c>
      <c r="D103" t="n">
        <v>1</v>
      </c>
      <c r="E103" t="s">
        <v>114</v>
      </c>
      <c r="F103" t="s"/>
      <c r="G103" t="s"/>
      <c r="H103" t="s"/>
      <c r="I103" t="s"/>
      <c r="J103" t="n">
        <v>0.3612</v>
      </c>
      <c r="K103" t="n">
        <v>0</v>
      </c>
      <c r="L103" t="n">
        <v>0.884</v>
      </c>
      <c r="M103" t="n">
        <v>0.116</v>
      </c>
    </row>
    <row r="104" spans="1:13">
      <c r="A104" s="1">
        <f>HYPERLINK("http://www.twitter.com/NathanBLawrence/status/996962180569366528", "996962180569366528")</f>
        <v/>
      </c>
      <c r="B104" s="2" t="n">
        <v>43237.16297453704</v>
      </c>
      <c r="C104" t="n">
        <v>0</v>
      </c>
      <c r="D104" t="n">
        <v>0</v>
      </c>
      <c r="E104" t="s">
        <v>115</v>
      </c>
      <c r="F104" t="s"/>
      <c r="G104" t="s"/>
      <c r="H104" t="s"/>
      <c r="I104" t="s"/>
      <c r="J104" t="n">
        <v>0.5574</v>
      </c>
      <c r="K104" t="n">
        <v>0</v>
      </c>
      <c r="L104" t="n">
        <v>0.581</v>
      </c>
      <c r="M104" t="n">
        <v>0.419</v>
      </c>
    </row>
    <row r="105" spans="1:13">
      <c r="A105" s="1">
        <f>HYPERLINK("http://www.twitter.com/NathanBLawrence/status/996961502014967808", "996961502014967808")</f>
        <v/>
      </c>
      <c r="B105" s="2" t="n">
        <v>43237.16109953704</v>
      </c>
      <c r="C105" t="n">
        <v>2</v>
      </c>
      <c r="D105" t="n">
        <v>0</v>
      </c>
      <c r="E105" t="s">
        <v>116</v>
      </c>
      <c r="F105" t="s"/>
      <c r="G105" t="s"/>
      <c r="H105" t="s"/>
      <c r="I105" t="s"/>
      <c r="J105" t="n">
        <v>0.4201</v>
      </c>
      <c r="K105" t="n">
        <v>0.075</v>
      </c>
      <c r="L105" t="n">
        <v>0.747</v>
      </c>
      <c r="M105" t="n">
        <v>0.178</v>
      </c>
    </row>
    <row r="106" spans="1:13">
      <c r="A106" s="1">
        <f>HYPERLINK("http://www.twitter.com/NathanBLawrence/status/996959862235033600", "996959862235033600")</f>
        <v/>
      </c>
      <c r="B106" s="2" t="n">
        <v>43237.15657407408</v>
      </c>
      <c r="C106" t="n">
        <v>0</v>
      </c>
      <c r="D106" t="n">
        <v>0</v>
      </c>
      <c r="E106" t="s">
        <v>117</v>
      </c>
      <c r="F106" t="s"/>
      <c r="G106" t="s"/>
      <c r="H106" t="s"/>
      <c r="I106" t="s"/>
      <c r="J106" t="n">
        <v>0</v>
      </c>
      <c r="K106" t="n">
        <v>0</v>
      </c>
      <c r="L106" t="n">
        <v>1</v>
      </c>
      <c r="M106" t="n">
        <v>0</v>
      </c>
    </row>
    <row r="107" spans="1:13">
      <c r="A107" s="1">
        <f>HYPERLINK("http://www.twitter.com/NathanBLawrence/status/996959288454189056", "996959288454189056")</f>
        <v/>
      </c>
      <c r="B107" s="2" t="n">
        <v>43237.15498842593</v>
      </c>
      <c r="C107" t="n">
        <v>0</v>
      </c>
      <c r="D107" t="n">
        <v>1228</v>
      </c>
      <c r="E107" t="s">
        <v>118</v>
      </c>
      <c r="F107" t="s"/>
      <c r="G107" t="s"/>
      <c r="H107" t="s"/>
      <c r="I107" t="s"/>
      <c r="J107" t="n">
        <v>0</v>
      </c>
      <c r="K107" t="n">
        <v>0</v>
      </c>
      <c r="L107" t="n">
        <v>1</v>
      </c>
      <c r="M107" t="n">
        <v>0</v>
      </c>
    </row>
    <row r="108" spans="1:13">
      <c r="A108" s="1">
        <f>HYPERLINK("http://www.twitter.com/NathanBLawrence/status/996956892860764160", "996956892860764160")</f>
        <v/>
      </c>
      <c r="B108" s="2" t="n">
        <v>43237.14837962963</v>
      </c>
      <c r="C108" t="n">
        <v>0</v>
      </c>
      <c r="D108" t="n">
        <v>0</v>
      </c>
      <c r="E108" t="s">
        <v>119</v>
      </c>
      <c r="F108" t="s"/>
      <c r="G108" t="s"/>
      <c r="H108" t="s"/>
      <c r="I108" t="s"/>
      <c r="J108" t="n">
        <v>0.3612</v>
      </c>
      <c r="K108" t="n">
        <v>0</v>
      </c>
      <c r="L108" t="n">
        <v>0.828</v>
      </c>
      <c r="M108" t="n">
        <v>0.172</v>
      </c>
    </row>
    <row r="109" spans="1:13">
      <c r="A109" s="1">
        <f>HYPERLINK("http://www.twitter.com/NathanBLawrence/status/996951991698980864", "996951991698980864")</f>
        <v/>
      </c>
      <c r="B109" s="2" t="n">
        <v>43237.13484953704</v>
      </c>
      <c r="C109" t="n">
        <v>0</v>
      </c>
      <c r="D109" t="n">
        <v>16</v>
      </c>
      <c r="E109" t="s">
        <v>120</v>
      </c>
      <c r="F109">
        <f>HYPERLINK("http://pbs.twimg.com/media/DdL3TSfXkAI5rYv.jpg", "http://pbs.twimg.com/media/DdL3TSfXkAI5rYv.jpg")</f>
        <v/>
      </c>
      <c r="G109" t="s"/>
      <c r="H109" t="s"/>
      <c r="I109" t="s"/>
      <c r="J109" t="n">
        <v>0.6124000000000001</v>
      </c>
      <c r="K109" t="n">
        <v>0</v>
      </c>
      <c r="L109" t="n">
        <v>0.8</v>
      </c>
      <c r="M109" t="n">
        <v>0.2</v>
      </c>
    </row>
    <row r="110" spans="1:13">
      <c r="A110" s="1">
        <f>HYPERLINK("http://www.twitter.com/NathanBLawrence/status/996950666437365766", "996950666437365766")</f>
        <v/>
      </c>
      <c r="B110" s="2" t="n">
        <v>43237.13119212963</v>
      </c>
      <c r="C110" t="n">
        <v>0</v>
      </c>
      <c r="D110" t="n">
        <v>10</v>
      </c>
      <c r="E110" t="s">
        <v>121</v>
      </c>
      <c r="F110">
        <f>HYPERLINK("http://pbs.twimg.com/media/DdXgT08V0AA31-A.jpg", "http://pbs.twimg.com/media/DdXgT08V0AA31-A.jpg")</f>
        <v/>
      </c>
      <c r="G110">
        <f>HYPERLINK("http://pbs.twimg.com/media/DdXgT9VVAAAsFa4.jpg", "http://pbs.twimg.com/media/DdXgT9VVAAAsFa4.jpg")</f>
        <v/>
      </c>
      <c r="H110" t="s"/>
      <c r="I110" t="s"/>
      <c r="J110" t="n">
        <v>0.0516</v>
      </c>
      <c r="K110" t="n">
        <v>0.093</v>
      </c>
      <c r="L110" t="n">
        <v>0.806</v>
      </c>
      <c r="M110" t="n">
        <v>0.101</v>
      </c>
    </row>
    <row r="111" spans="1:13">
      <c r="A111" s="1">
        <f>HYPERLINK("http://www.twitter.com/NathanBLawrence/status/996950576259837952", "996950576259837952")</f>
        <v/>
      </c>
      <c r="B111" s="2" t="n">
        <v>43237.13094907408</v>
      </c>
      <c r="C111" t="n">
        <v>1</v>
      </c>
      <c r="D111" t="n">
        <v>2</v>
      </c>
      <c r="E111" t="s">
        <v>122</v>
      </c>
      <c r="F111" t="s"/>
      <c r="G111" t="s"/>
      <c r="H111" t="s"/>
      <c r="I111" t="s"/>
      <c r="J111" t="n">
        <v>0</v>
      </c>
      <c r="K111" t="n">
        <v>0</v>
      </c>
      <c r="L111" t="n">
        <v>1</v>
      </c>
      <c r="M111" t="n">
        <v>0</v>
      </c>
    </row>
    <row r="112" spans="1:13">
      <c r="A112" s="1">
        <f>HYPERLINK("http://www.twitter.com/NathanBLawrence/status/996949151165435905", "996949151165435905")</f>
        <v/>
      </c>
      <c r="B112" s="2" t="n">
        <v>43237.12701388889</v>
      </c>
      <c r="C112" t="n">
        <v>0</v>
      </c>
      <c r="D112" t="n">
        <v>9</v>
      </c>
      <c r="E112" t="s">
        <v>123</v>
      </c>
      <c r="F112">
        <f>HYPERLINK("http://pbs.twimg.com/media/DdXfvezU0AYF3aP.jpg", "http://pbs.twimg.com/media/DdXfvezU0AYF3aP.jpg")</f>
        <v/>
      </c>
      <c r="G112" t="s"/>
      <c r="H112" t="s"/>
      <c r="I112" t="s"/>
      <c r="J112" t="n">
        <v>0</v>
      </c>
      <c r="K112" t="n">
        <v>0</v>
      </c>
      <c r="L112" t="n">
        <v>1</v>
      </c>
      <c r="M112" t="n">
        <v>0</v>
      </c>
    </row>
    <row r="113" spans="1:13">
      <c r="A113" s="1">
        <f>HYPERLINK("http://www.twitter.com/NathanBLawrence/status/996948675736821760", "996948675736821760")</f>
        <v/>
      </c>
      <c r="B113" s="2" t="n">
        <v>43237.12570601852</v>
      </c>
      <c r="C113" t="n">
        <v>2</v>
      </c>
      <c r="D113" t="n">
        <v>0</v>
      </c>
      <c r="E113" t="s">
        <v>124</v>
      </c>
      <c r="F113" t="s"/>
      <c r="G113" t="s"/>
      <c r="H113" t="s"/>
      <c r="I113" t="s"/>
      <c r="J113" t="n">
        <v>0</v>
      </c>
      <c r="K113" t="n">
        <v>0</v>
      </c>
      <c r="L113" t="n">
        <v>1</v>
      </c>
      <c r="M113" t="n">
        <v>0</v>
      </c>
    </row>
    <row r="114" spans="1:13">
      <c r="A114" s="1">
        <f>HYPERLINK("http://www.twitter.com/NathanBLawrence/status/996941209292722178", "996941209292722178")</f>
        <v/>
      </c>
      <c r="B114" s="2" t="n">
        <v>43237.10510416667</v>
      </c>
      <c r="C114" t="n">
        <v>0</v>
      </c>
      <c r="D114" t="n">
        <v>6</v>
      </c>
      <c r="E114" t="s">
        <v>125</v>
      </c>
      <c r="F114" t="s"/>
      <c r="G114" t="s"/>
      <c r="H114" t="s"/>
      <c r="I114" t="s"/>
      <c r="J114" t="n">
        <v>-0.1027</v>
      </c>
      <c r="K114" t="n">
        <v>0.055</v>
      </c>
      <c r="L114" t="n">
        <v>0.945</v>
      </c>
      <c r="M114" t="n">
        <v>0</v>
      </c>
    </row>
    <row r="115" spans="1:13">
      <c r="A115" s="1">
        <f>HYPERLINK("http://www.twitter.com/NathanBLawrence/status/996940105674887173", "996940105674887173")</f>
        <v/>
      </c>
      <c r="B115" s="2" t="n">
        <v>43237.10206018519</v>
      </c>
      <c r="C115" t="n">
        <v>0</v>
      </c>
      <c r="D115" t="n">
        <v>10</v>
      </c>
      <c r="E115" t="s">
        <v>126</v>
      </c>
      <c r="F115" t="s"/>
      <c r="G115" t="s"/>
      <c r="H115" t="s"/>
      <c r="I115" t="s"/>
      <c r="J115" t="n">
        <v>0.4215</v>
      </c>
      <c r="K115" t="n">
        <v>0</v>
      </c>
      <c r="L115" t="n">
        <v>0.833</v>
      </c>
      <c r="M115" t="n">
        <v>0.167</v>
      </c>
    </row>
    <row r="116" spans="1:13">
      <c r="A116" s="1">
        <f>HYPERLINK("http://www.twitter.com/NathanBLawrence/status/996936156150411269", "996936156150411269")</f>
        <v/>
      </c>
      <c r="B116" s="2" t="n">
        <v>43237.09115740741</v>
      </c>
      <c r="C116" t="n">
        <v>0</v>
      </c>
      <c r="D116" t="n">
        <v>2172</v>
      </c>
      <c r="E116" t="s">
        <v>127</v>
      </c>
      <c r="F116" t="s"/>
      <c r="G116" t="s"/>
      <c r="H116" t="s"/>
      <c r="I116" t="s"/>
      <c r="J116" t="n">
        <v>0</v>
      </c>
      <c r="K116" t="n">
        <v>0</v>
      </c>
      <c r="L116" t="n">
        <v>1</v>
      </c>
      <c r="M116" t="n">
        <v>0</v>
      </c>
    </row>
    <row r="117" spans="1:13">
      <c r="A117" s="1">
        <f>HYPERLINK("http://www.twitter.com/NathanBLawrence/status/996930594067091457", "996930594067091457")</f>
        <v/>
      </c>
      <c r="B117" s="2" t="n">
        <v>43237.07581018518</v>
      </c>
      <c r="C117" t="n">
        <v>0</v>
      </c>
      <c r="D117" t="n">
        <v>2</v>
      </c>
      <c r="E117" t="s">
        <v>128</v>
      </c>
      <c r="F117" t="s"/>
      <c r="G117" t="s"/>
      <c r="H117" t="s"/>
      <c r="I117" t="s"/>
      <c r="J117" t="n">
        <v>0.4019</v>
      </c>
      <c r="K117" t="n">
        <v>0</v>
      </c>
      <c r="L117" t="n">
        <v>0.876</v>
      </c>
      <c r="M117" t="n">
        <v>0.124</v>
      </c>
    </row>
    <row r="118" spans="1:13">
      <c r="A118" s="1">
        <f>HYPERLINK("http://www.twitter.com/NathanBLawrence/status/996928912751030273", "996928912751030273")</f>
        <v/>
      </c>
      <c r="B118" s="2" t="n">
        <v>43237.07116898148</v>
      </c>
      <c r="C118" t="n">
        <v>0</v>
      </c>
      <c r="D118" t="n">
        <v>0</v>
      </c>
      <c r="E118" t="s">
        <v>129</v>
      </c>
      <c r="F118" t="s"/>
      <c r="G118" t="s"/>
      <c r="H118" t="s"/>
      <c r="I118" t="s"/>
      <c r="J118" t="n">
        <v>0</v>
      </c>
      <c r="K118" t="n">
        <v>0</v>
      </c>
      <c r="L118" t="n">
        <v>1</v>
      </c>
      <c r="M118" t="n">
        <v>0</v>
      </c>
    </row>
    <row r="119" spans="1:13">
      <c r="A119" s="1">
        <f>HYPERLINK("http://www.twitter.com/NathanBLawrence/status/996920205044568065", "996920205044568065")</f>
        <v/>
      </c>
      <c r="B119" s="2" t="n">
        <v>43237.0471412037</v>
      </c>
      <c r="C119" t="n">
        <v>0</v>
      </c>
      <c r="D119" t="n">
        <v>4</v>
      </c>
      <c r="E119" t="s">
        <v>130</v>
      </c>
      <c r="F119" t="s"/>
      <c r="G119" t="s"/>
      <c r="H119" t="s"/>
      <c r="I119" t="s"/>
      <c r="J119" t="n">
        <v>-0.2732</v>
      </c>
      <c r="K119" t="n">
        <v>0.176</v>
      </c>
      <c r="L119" t="n">
        <v>0.728</v>
      </c>
      <c r="M119" t="n">
        <v>0.096</v>
      </c>
    </row>
    <row r="120" spans="1:13">
      <c r="A120" s="1">
        <f>HYPERLINK("http://www.twitter.com/NathanBLawrence/status/996919555967672325", "996919555967672325")</f>
        <v/>
      </c>
      <c r="B120" s="2" t="n">
        <v>43237.04534722222</v>
      </c>
      <c r="C120" t="n">
        <v>1</v>
      </c>
      <c r="D120" t="n">
        <v>1</v>
      </c>
      <c r="E120" t="s">
        <v>131</v>
      </c>
      <c r="F120" t="s"/>
      <c r="G120" t="s"/>
      <c r="H120" t="s"/>
      <c r="I120" t="s"/>
      <c r="J120" t="n">
        <v>0</v>
      </c>
      <c r="K120" t="n">
        <v>0</v>
      </c>
      <c r="L120" t="n">
        <v>1</v>
      </c>
      <c r="M120" t="n">
        <v>0</v>
      </c>
    </row>
    <row r="121" spans="1:13">
      <c r="A121" s="1">
        <f>HYPERLINK("http://www.twitter.com/NathanBLawrence/status/996918905280106496", "996918905280106496")</f>
        <v/>
      </c>
      <c r="B121" s="2" t="n">
        <v>43237.04355324074</v>
      </c>
      <c r="C121" t="n">
        <v>0</v>
      </c>
      <c r="D121" t="n">
        <v>0</v>
      </c>
      <c r="E121" t="s">
        <v>132</v>
      </c>
      <c r="F121" t="s"/>
      <c r="G121" t="s"/>
      <c r="H121" t="s"/>
      <c r="I121" t="s"/>
      <c r="J121" t="n">
        <v>0</v>
      </c>
      <c r="K121" t="n">
        <v>0</v>
      </c>
      <c r="L121" t="n">
        <v>1</v>
      </c>
      <c r="M121" t="n">
        <v>0</v>
      </c>
    </row>
    <row r="122" spans="1:13">
      <c r="A122" s="1">
        <f>HYPERLINK("http://www.twitter.com/NathanBLawrence/status/996906398398271488", "996906398398271488")</f>
        <v/>
      </c>
      <c r="B122" s="2" t="n">
        <v>43237.00903935185</v>
      </c>
      <c r="C122" t="n">
        <v>2</v>
      </c>
      <c r="D122" t="n">
        <v>0</v>
      </c>
      <c r="E122" t="s">
        <v>133</v>
      </c>
      <c r="F122" t="s"/>
      <c r="G122" t="s"/>
      <c r="H122" t="s"/>
      <c r="I122" t="s"/>
      <c r="J122" t="n">
        <v>0</v>
      </c>
      <c r="K122" t="n">
        <v>0</v>
      </c>
      <c r="L122" t="n">
        <v>1</v>
      </c>
      <c r="M122" t="n">
        <v>0</v>
      </c>
    </row>
    <row r="123" spans="1:13">
      <c r="A123" s="1">
        <f>HYPERLINK("http://www.twitter.com/NathanBLawrence/status/996841447402950656", "996841447402950656")</f>
        <v/>
      </c>
      <c r="B123" s="2" t="n">
        <v>43236.82981481482</v>
      </c>
      <c r="C123" t="n">
        <v>1</v>
      </c>
      <c r="D123" t="n">
        <v>0</v>
      </c>
      <c r="E123" t="s">
        <v>134</v>
      </c>
      <c r="F123" t="s"/>
      <c r="G123" t="s"/>
      <c r="H123" t="s"/>
      <c r="I123" t="s"/>
      <c r="J123" t="n">
        <v>0</v>
      </c>
      <c r="K123" t="n">
        <v>0</v>
      </c>
      <c r="L123" t="n">
        <v>1</v>
      </c>
      <c r="M123" t="n">
        <v>0</v>
      </c>
    </row>
    <row r="124" spans="1:13">
      <c r="A124" s="1">
        <f>HYPERLINK("http://www.twitter.com/NathanBLawrence/status/996839666740617217", "996839666740617217")</f>
        <v/>
      </c>
      <c r="B124" s="2" t="n">
        <v>43236.82489583334</v>
      </c>
      <c r="C124" t="n">
        <v>0</v>
      </c>
      <c r="D124" t="n">
        <v>0</v>
      </c>
      <c r="E124" t="s">
        <v>135</v>
      </c>
      <c r="F124" t="s"/>
      <c r="G124" t="s"/>
      <c r="H124" t="s"/>
      <c r="I124" t="s"/>
      <c r="J124" t="n">
        <v>0.7096</v>
      </c>
      <c r="K124" t="n">
        <v>0</v>
      </c>
      <c r="L124" t="n">
        <v>0.704</v>
      </c>
      <c r="M124" t="n">
        <v>0.296</v>
      </c>
    </row>
    <row r="125" spans="1:13">
      <c r="A125" s="1">
        <f>HYPERLINK("http://www.twitter.com/NathanBLawrence/status/996838906699005952", "996838906699005952")</f>
        <v/>
      </c>
      <c r="B125" s="2" t="n">
        <v>43236.82280092593</v>
      </c>
      <c r="C125" t="n">
        <v>0</v>
      </c>
      <c r="D125" t="n">
        <v>2</v>
      </c>
      <c r="E125" t="s">
        <v>136</v>
      </c>
      <c r="F125" t="s"/>
      <c r="G125" t="s"/>
      <c r="H125" t="s"/>
      <c r="I125" t="s"/>
      <c r="J125" t="n">
        <v>0</v>
      </c>
      <c r="K125" t="n">
        <v>0</v>
      </c>
      <c r="L125" t="n">
        <v>1</v>
      </c>
      <c r="M125" t="n">
        <v>0</v>
      </c>
    </row>
    <row r="126" spans="1:13">
      <c r="A126" s="1">
        <f>HYPERLINK("http://www.twitter.com/NathanBLawrence/status/996838848054353923", "996838848054353923")</f>
        <v/>
      </c>
      <c r="B126" s="2" t="n">
        <v>43236.82263888889</v>
      </c>
      <c r="C126" t="n">
        <v>2</v>
      </c>
      <c r="D126" t="n">
        <v>0</v>
      </c>
      <c r="E126" t="s">
        <v>137</v>
      </c>
      <c r="F126" t="s"/>
      <c r="G126" t="s"/>
      <c r="H126" t="s"/>
      <c r="I126" t="s"/>
      <c r="J126" t="n">
        <v>0.3182</v>
      </c>
      <c r="K126" t="n">
        <v>0</v>
      </c>
      <c r="L126" t="n">
        <v>0.8129999999999999</v>
      </c>
      <c r="M126" t="n">
        <v>0.187</v>
      </c>
    </row>
    <row r="127" spans="1:13">
      <c r="A127" s="1">
        <f>HYPERLINK("http://www.twitter.com/NathanBLawrence/status/996823133255499776", "996823133255499776")</f>
        <v/>
      </c>
      <c r="B127" s="2" t="n">
        <v>43236.77927083334</v>
      </c>
      <c r="C127" t="n">
        <v>0</v>
      </c>
      <c r="D127" t="n">
        <v>0</v>
      </c>
      <c r="E127" t="s">
        <v>138</v>
      </c>
      <c r="F127" t="s"/>
      <c r="G127" t="s"/>
      <c r="H127" t="s"/>
      <c r="I127" t="s"/>
      <c r="J127" t="n">
        <v>0.6808</v>
      </c>
      <c r="K127" t="n">
        <v>0.07000000000000001</v>
      </c>
      <c r="L127" t="n">
        <v>0.705</v>
      </c>
      <c r="M127" t="n">
        <v>0.225</v>
      </c>
    </row>
    <row r="128" spans="1:13">
      <c r="A128" s="1">
        <f>HYPERLINK("http://www.twitter.com/NathanBLawrence/status/996819497456676864", "996819497456676864")</f>
        <v/>
      </c>
      <c r="B128" s="2" t="n">
        <v>43236.76923611111</v>
      </c>
      <c r="C128" t="n">
        <v>0</v>
      </c>
      <c r="D128" t="n">
        <v>16</v>
      </c>
      <c r="E128" t="s">
        <v>139</v>
      </c>
      <c r="F128">
        <f>HYPERLINK("http://pbs.twimg.com/media/DdVoL0IXcAAr1Ph.jpg", "http://pbs.twimg.com/media/DdVoL0IXcAAr1Ph.jpg")</f>
        <v/>
      </c>
      <c r="G128" t="s"/>
      <c r="H128" t="s"/>
      <c r="I128" t="s"/>
      <c r="J128" t="n">
        <v>-0.6114000000000001</v>
      </c>
      <c r="K128" t="n">
        <v>0.192</v>
      </c>
      <c r="L128" t="n">
        <v>0.8080000000000001</v>
      </c>
      <c r="M128" t="n">
        <v>0</v>
      </c>
    </row>
    <row r="129" spans="1:13">
      <c r="A129" s="1">
        <f>HYPERLINK("http://www.twitter.com/NathanBLawrence/status/996817130313142272", "996817130313142272")</f>
        <v/>
      </c>
      <c r="B129" s="2" t="n">
        <v>43236.76270833334</v>
      </c>
      <c r="C129" t="n">
        <v>1</v>
      </c>
      <c r="D129" t="n">
        <v>0</v>
      </c>
      <c r="E129" t="s">
        <v>140</v>
      </c>
      <c r="F129" t="s"/>
      <c r="G129" t="s"/>
      <c r="H129" t="s"/>
      <c r="I129" t="s"/>
      <c r="J129" t="n">
        <v>0.6812</v>
      </c>
      <c r="K129" t="n">
        <v>0.08500000000000001</v>
      </c>
      <c r="L129" t="n">
        <v>0.605</v>
      </c>
      <c r="M129" t="n">
        <v>0.311</v>
      </c>
    </row>
    <row r="130" spans="1:13">
      <c r="A130" s="1">
        <f>HYPERLINK("http://www.twitter.com/NathanBLawrence/status/996814786313752576", "996814786313752576")</f>
        <v/>
      </c>
      <c r="B130" s="2" t="n">
        <v>43236.75623842593</v>
      </c>
      <c r="C130" t="n">
        <v>0</v>
      </c>
      <c r="D130" t="n">
        <v>0</v>
      </c>
      <c r="E130" t="s">
        <v>141</v>
      </c>
      <c r="F130" t="s"/>
      <c r="G130" t="s"/>
      <c r="H130" t="s"/>
      <c r="I130" t="s"/>
      <c r="J130" t="n">
        <v>-0.4019</v>
      </c>
      <c r="K130" t="n">
        <v>0.351</v>
      </c>
      <c r="L130" t="n">
        <v>0.649</v>
      </c>
      <c r="M130" t="n">
        <v>0</v>
      </c>
    </row>
    <row r="131" spans="1:13">
      <c r="A131" s="1">
        <f>HYPERLINK("http://www.twitter.com/NathanBLawrence/status/996814556277207040", "996814556277207040")</f>
        <v/>
      </c>
      <c r="B131" s="2" t="n">
        <v>43236.75560185185</v>
      </c>
      <c r="C131" t="n">
        <v>1</v>
      </c>
      <c r="D131" t="n">
        <v>0</v>
      </c>
      <c r="E131" t="s">
        <v>142</v>
      </c>
      <c r="F131" t="s"/>
      <c r="G131" t="s"/>
      <c r="H131" t="s"/>
      <c r="I131" t="s"/>
      <c r="J131" t="n">
        <v>0.3182</v>
      </c>
      <c r="K131" t="n">
        <v>0</v>
      </c>
      <c r="L131" t="n">
        <v>0.723</v>
      </c>
      <c r="M131" t="n">
        <v>0.277</v>
      </c>
    </row>
    <row r="132" spans="1:13">
      <c r="A132" s="1">
        <f>HYPERLINK("http://www.twitter.com/NathanBLawrence/status/996813166993649669", "996813166993649669")</f>
        <v/>
      </c>
      <c r="B132" s="2" t="n">
        <v>43236.75177083333</v>
      </c>
      <c r="C132" t="n">
        <v>0</v>
      </c>
      <c r="D132" t="n">
        <v>17</v>
      </c>
      <c r="E132" t="s">
        <v>143</v>
      </c>
      <c r="F132" t="s"/>
      <c r="G132" t="s"/>
      <c r="H132" t="s"/>
      <c r="I132" t="s"/>
      <c r="J132" t="n">
        <v>-0.2732</v>
      </c>
      <c r="K132" t="n">
        <v>0.13</v>
      </c>
      <c r="L132" t="n">
        <v>0.87</v>
      </c>
      <c r="M132" t="n">
        <v>0</v>
      </c>
    </row>
    <row r="133" spans="1:13">
      <c r="A133" s="1">
        <f>HYPERLINK("http://www.twitter.com/NathanBLawrence/status/996812751048757249", "996812751048757249")</f>
        <v/>
      </c>
      <c r="B133" s="2" t="n">
        <v>43236.750625</v>
      </c>
      <c r="C133" t="n">
        <v>4</v>
      </c>
      <c r="D133" t="n">
        <v>0</v>
      </c>
      <c r="E133" t="s">
        <v>144</v>
      </c>
      <c r="F133" t="s"/>
      <c r="G133" t="s"/>
      <c r="H133" t="s"/>
      <c r="I133" t="s"/>
      <c r="J133" t="n">
        <v>-0.3612</v>
      </c>
      <c r="K133" t="n">
        <v>0.455</v>
      </c>
      <c r="L133" t="n">
        <v>0.545</v>
      </c>
      <c r="M133" t="n">
        <v>0</v>
      </c>
    </row>
    <row r="134" spans="1:13">
      <c r="A134" s="1">
        <f>HYPERLINK("http://www.twitter.com/NathanBLawrence/status/996792945515941889", "996792945515941889")</f>
        <v/>
      </c>
      <c r="B134" s="2" t="n">
        <v>43236.69597222222</v>
      </c>
      <c r="C134" t="n">
        <v>0</v>
      </c>
      <c r="D134" t="n">
        <v>3</v>
      </c>
      <c r="E134" t="s">
        <v>145</v>
      </c>
      <c r="F134" t="s"/>
      <c r="G134" t="s"/>
      <c r="H134" t="s"/>
      <c r="I134" t="s"/>
      <c r="J134" t="n">
        <v>-0.128</v>
      </c>
      <c r="K134" t="n">
        <v>0.152</v>
      </c>
      <c r="L134" t="n">
        <v>0.717</v>
      </c>
      <c r="M134" t="n">
        <v>0.13</v>
      </c>
    </row>
    <row r="135" spans="1:13">
      <c r="A135" s="1">
        <f>HYPERLINK("http://www.twitter.com/NathanBLawrence/status/996790145155239937", "996790145155239937")</f>
        <v/>
      </c>
      <c r="B135" s="2" t="n">
        <v>43236.68824074074</v>
      </c>
      <c r="C135" t="n">
        <v>0</v>
      </c>
      <c r="D135" t="n">
        <v>0</v>
      </c>
      <c r="E135" t="s">
        <v>146</v>
      </c>
      <c r="F135" t="s"/>
      <c r="G135" t="s"/>
      <c r="H135" t="s"/>
      <c r="I135" t="s"/>
      <c r="J135" t="n">
        <v>0</v>
      </c>
      <c r="K135" t="n">
        <v>0</v>
      </c>
      <c r="L135" t="n">
        <v>1</v>
      </c>
      <c r="M135" t="n">
        <v>0</v>
      </c>
    </row>
    <row r="136" spans="1:13">
      <c r="A136" s="1">
        <f>HYPERLINK("http://www.twitter.com/NathanBLawrence/status/996741977608785920", "996741977608785920")</f>
        <v/>
      </c>
      <c r="B136" s="2" t="n">
        <v>43236.55532407408</v>
      </c>
      <c r="C136" t="n">
        <v>1</v>
      </c>
      <c r="D136" t="n">
        <v>0</v>
      </c>
      <c r="E136" t="s">
        <v>147</v>
      </c>
      <c r="F136" t="s"/>
      <c r="G136" t="s"/>
      <c r="H136" t="s"/>
      <c r="I136" t="s"/>
      <c r="J136" t="n">
        <v>0.6588000000000001</v>
      </c>
      <c r="K136" t="n">
        <v>0</v>
      </c>
      <c r="L136" t="n">
        <v>0.646</v>
      </c>
      <c r="M136" t="n">
        <v>0.354</v>
      </c>
    </row>
    <row r="137" spans="1:13">
      <c r="A137" s="1">
        <f>HYPERLINK("http://www.twitter.com/NathanBLawrence/status/996741220100648960", "996741220100648960")</f>
        <v/>
      </c>
      <c r="B137" s="2" t="n">
        <v>43236.55324074074</v>
      </c>
      <c r="C137" t="n">
        <v>0</v>
      </c>
      <c r="D137" t="n">
        <v>0</v>
      </c>
      <c r="E137" t="s">
        <v>148</v>
      </c>
      <c r="F137" t="s"/>
      <c r="G137" t="s"/>
      <c r="H137" t="s"/>
      <c r="I137" t="s"/>
      <c r="J137" t="n">
        <v>0</v>
      </c>
      <c r="K137" t="n">
        <v>0</v>
      </c>
      <c r="L137" t="n">
        <v>1</v>
      </c>
      <c r="M137" t="n">
        <v>0</v>
      </c>
    </row>
    <row r="138" spans="1:13">
      <c r="A138" s="1">
        <f>HYPERLINK("http://www.twitter.com/NathanBLawrence/status/996740067002671104", "996740067002671104")</f>
        <v/>
      </c>
      <c r="B138" s="2" t="n">
        <v>43236.55005787037</v>
      </c>
      <c r="C138" t="n">
        <v>2</v>
      </c>
      <c r="D138" t="n">
        <v>1</v>
      </c>
      <c r="E138" t="s">
        <v>149</v>
      </c>
      <c r="F138" t="s"/>
      <c r="G138" t="s"/>
      <c r="H138" t="s"/>
      <c r="I138" t="s"/>
      <c r="J138" t="n">
        <v>0</v>
      </c>
      <c r="K138" t="n">
        <v>0</v>
      </c>
      <c r="L138" t="n">
        <v>1</v>
      </c>
      <c r="M138" t="n">
        <v>0</v>
      </c>
    </row>
    <row r="139" spans="1:13">
      <c r="A139" s="1">
        <f>HYPERLINK("http://www.twitter.com/NathanBLawrence/status/996739664575909889", "996739664575909889")</f>
        <v/>
      </c>
      <c r="B139" s="2" t="n">
        <v>43236.54894675926</v>
      </c>
      <c r="C139" t="n">
        <v>1</v>
      </c>
      <c r="D139" t="n">
        <v>0</v>
      </c>
      <c r="E139" t="s">
        <v>150</v>
      </c>
      <c r="F139" t="s"/>
      <c r="G139" t="s"/>
      <c r="H139" t="s"/>
      <c r="I139" t="s"/>
      <c r="J139" t="n">
        <v>0</v>
      </c>
      <c r="K139" t="n">
        <v>0</v>
      </c>
      <c r="L139" t="n">
        <v>1</v>
      </c>
      <c r="M139" t="n">
        <v>0</v>
      </c>
    </row>
    <row r="140" spans="1:13">
      <c r="A140" s="1">
        <f>HYPERLINK("http://www.twitter.com/NathanBLawrence/status/996738975577661441", "996738975577661441")</f>
        <v/>
      </c>
      <c r="B140" s="2" t="n">
        <v>43236.54703703704</v>
      </c>
      <c r="C140" t="n">
        <v>0</v>
      </c>
      <c r="D140" t="n">
        <v>7783</v>
      </c>
      <c r="E140" t="s">
        <v>151</v>
      </c>
      <c r="F140" t="s"/>
      <c r="G140" t="s"/>
      <c r="H140" t="s"/>
      <c r="I140" t="s"/>
      <c r="J140" t="n">
        <v>-0.7906</v>
      </c>
      <c r="K140" t="n">
        <v>0.259</v>
      </c>
      <c r="L140" t="n">
        <v>0.741</v>
      </c>
      <c r="M140" t="n">
        <v>0</v>
      </c>
    </row>
    <row r="141" spans="1:13">
      <c r="A141" s="1">
        <f>HYPERLINK("http://www.twitter.com/NathanBLawrence/status/996598535033417729", "996598535033417729")</f>
        <v/>
      </c>
      <c r="B141" s="2" t="n">
        <v>43236.15950231482</v>
      </c>
      <c r="C141" t="n">
        <v>0</v>
      </c>
      <c r="D141" t="n">
        <v>0</v>
      </c>
      <c r="E141" t="s">
        <v>152</v>
      </c>
      <c r="F141" t="s"/>
      <c r="G141" t="s"/>
      <c r="H141" t="s"/>
      <c r="I141" t="s"/>
      <c r="J141" t="n">
        <v>0</v>
      </c>
      <c r="K141" t="n">
        <v>0</v>
      </c>
      <c r="L141" t="n">
        <v>1</v>
      </c>
      <c r="M141" t="n">
        <v>0</v>
      </c>
    </row>
    <row r="142" spans="1:13">
      <c r="A142" s="1">
        <f>HYPERLINK("http://www.twitter.com/NathanBLawrence/status/996594101419151360", "996594101419151360")</f>
        <v/>
      </c>
      <c r="B142" s="2" t="n">
        <v>43236.14726851852</v>
      </c>
      <c r="C142" t="n">
        <v>0</v>
      </c>
      <c r="D142" t="n">
        <v>0</v>
      </c>
      <c r="E142" t="s">
        <v>153</v>
      </c>
      <c r="F142" t="s"/>
      <c r="G142" t="s"/>
      <c r="H142" t="s"/>
      <c r="I142" t="s"/>
      <c r="J142" t="n">
        <v>0</v>
      </c>
      <c r="K142" t="n">
        <v>0</v>
      </c>
      <c r="L142" t="n">
        <v>1</v>
      </c>
      <c r="M142" t="n">
        <v>0</v>
      </c>
    </row>
    <row r="143" spans="1:13">
      <c r="A143" s="1">
        <f>HYPERLINK("http://www.twitter.com/NathanBLawrence/status/996593556243525633", "996593556243525633")</f>
        <v/>
      </c>
      <c r="B143" s="2" t="n">
        <v>43236.14576388889</v>
      </c>
      <c r="C143" t="n">
        <v>0</v>
      </c>
      <c r="D143" t="n">
        <v>0</v>
      </c>
      <c r="E143" t="s">
        <v>154</v>
      </c>
      <c r="F143" t="s"/>
      <c r="G143" t="s"/>
      <c r="H143" t="s"/>
      <c r="I143" t="s"/>
      <c r="J143" t="n">
        <v>0</v>
      </c>
      <c r="K143" t="n">
        <v>0</v>
      </c>
      <c r="L143" t="n">
        <v>1</v>
      </c>
      <c r="M143" t="n">
        <v>0</v>
      </c>
    </row>
    <row r="144" spans="1:13">
      <c r="A144" s="1">
        <f>HYPERLINK("http://www.twitter.com/NathanBLawrence/status/996592915345477632", "996592915345477632")</f>
        <v/>
      </c>
      <c r="B144" s="2" t="n">
        <v>43236.14399305556</v>
      </c>
      <c r="C144" t="n">
        <v>0</v>
      </c>
      <c r="D144" t="n">
        <v>11</v>
      </c>
      <c r="E144" t="s">
        <v>155</v>
      </c>
      <c r="F144">
        <f>HYPERLINK("http://pbs.twimg.com/media/DdSVEEfVwAAi2DL.jpg", "http://pbs.twimg.com/media/DdSVEEfVwAAi2DL.jpg")</f>
        <v/>
      </c>
      <c r="G144" t="s"/>
      <c r="H144" t="s"/>
      <c r="I144" t="s"/>
      <c r="J144" t="n">
        <v>0</v>
      </c>
      <c r="K144" t="n">
        <v>0</v>
      </c>
      <c r="L144" t="n">
        <v>1</v>
      </c>
      <c r="M144" t="n">
        <v>0</v>
      </c>
    </row>
    <row r="145" spans="1:13">
      <c r="A145" s="1">
        <f>HYPERLINK("http://www.twitter.com/NathanBLawrence/status/996591931961561088", "996591931961561088")</f>
        <v/>
      </c>
      <c r="B145" s="2" t="n">
        <v>43236.14128472222</v>
      </c>
      <c r="C145" t="n">
        <v>0</v>
      </c>
      <c r="D145" t="n">
        <v>0</v>
      </c>
      <c r="E145" t="s">
        <v>156</v>
      </c>
      <c r="F145" t="s"/>
      <c r="G145" t="s"/>
      <c r="H145" t="s"/>
      <c r="I145" t="s"/>
      <c r="J145" t="n">
        <v>-0.4137</v>
      </c>
      <c r="K145" t="n">
        <v>0.315</v>
      </c>
      <c r="L145" t="n">
        <v>0.6850000000000001</v>
      </c>
      <c r="M145" t="n">
        <v>0</v>
      </c>
    </row>
    <row r="146" spans="1:13">
      <c r="A146" s="1">
        <f>HYPERLINK("http://www.twitter.com/NathanBLawrence/status/996591682262061056", "996591682262061056")</f>
        <v/>
      </c>
      <c r="B146" s="2" t="n">
        <v>43236.14059027778</v>
      </c>
      <c r="C146" t="n">
        <v>0</v>
      </c>
      <c r="D146" t="n">
        <v>2</v>
      </c>
      <c r="E146" t="s">
        <v>157</v>
      </c>
      <c r="F146" t="s"/>
      <c r="G146" t="s"/>
      <c r="H146" t="s"/>
      <c r="I146" t="s"/>
      <c r="J146" t="n">
        <v>-0.7269</v>
      </c>
      <c r="K146" t="n">
        <v>0.253</v>
      </c>
      <c r="L146" t="n">
        <v>0.747</v>
      </c>
      <c r="M146" t="n">
        <v>0</v>
      </c>
    </row>
    <row r="147" spans="1:13">
      <c r="A147" s="1">
        <f>HYPERLINK("http://www.twitter.com/NathanBLawrence/status/996590609115820032", "996590609115820032")</f>
        <v/>
      </c>
      <c r="B147" s="2" t="n">
        <v>43236.13762731481</v>
      </c>
      <c r="C147" t="n">
        <v>1</v>
      </c>
      <c r="D147" t="n">
        <v>1</v>
      </c>
      <c r="E147" t="s">
        <v>158</v>
      </c>
      <c r="F147" t="s"/>
      <c r="G147" t="s"/>
      <c r="H147" t="s"/>
      <c r="I147" t="s"/>
      <c r="J147" t="n">
        <v>0.3612</v>
      </c>
      <c r="K147" t="n">
        <v>0</v>
      </c>
      <c r="L147" t="n">
        <v>0.783</v>
      </c>
      <c r="M147" t="n">
        <v>0.217</v>
      </c>
    </row>
    <row r="148" spans="1:13">
      <c r="A148" s="1">
        <f>HYPERLINK("http://www.twitter.com/NathanBLawrence/status/996588510327996417", "996588510327996417")</f>
        <v/>
      </c>
      <c r="B148" s="2" t="n">
        <v>43236.13184027778</v>
      </c>
      <c r="C148" t="n">
        <v>0</v>
      </c>
      <c r="D148" t="n">
        <v>0</v>
      </c>
      <c r="E148" t="s">
        <v>159</v>
      </c>
      <c r="F148" t="s"/>
      <c r="G148" t="s"/>
      <c r="H148" t="s"/>
      <c r="I148" t="s"/>
      <c r="J148" t="n">
        <v>-0.5473</v>
      </c>
      <c r="K148" t="n">
        <v>0.469</v>
      </c>
      <c r="L148" t="n">
        <v>0.531</v>
      </c>
      <c r="M148" t="n">
        <v>0</v>
      </c>
    </row>
    <row r="149" spans="1:13">
      <c r="A149" s="1">
        <f>HYPERLINK("http://www.twitter.com/NathanBLawrence/status/996588059373207558", "996588059373207558")</f>
        <v/>
      </c>
      <c r="B149" s="2" t="n">
        <v>43236.13059027777</v>
      </c>
      <c r="C149" t="n">
        <v>3</v>
      </c>
      <c r="D149" t="n">
        <v>0</v>
      </c>
      <c r="E149" t="s">
        <v>160</v>
      </c>
      <c r="F149" t="s"/>
      <c r="G149" t="s"/>
      <c r="H149" t="s"/>
      <c r="I149" t="s"/>
      <c r="J149" t="n">
        <v>0.3612</v>
      </c>
      <c r="K149" t="n">
        <v>0</v>
      </c>
      <c r="L149" t="n">
        <v>0.865</v>
      </c>
      <c r="M149" t="n">
        <v>0.135</v>
      </c>
    </row>
    <row r="150" spans="1:13">
      <c r="A150" s="1">
        <f>HYPERLINK("http://www.twitter.com/NathanBLawrence/status/996587273725599744", "996587273725599744")</f>
        <v/>
      </c>
      <c r="B150" s="2" t="n">
        <v>43236.12842592593</v>
      </c>
      <c r="C150" t="n">
        <v>1</v>
      </c>
      <c r="D150" t="n">
        <v>0</v>
      </c>
      <c r="E150" t="s">
        <v>161</v>
      </c>
      <c r="F150" t="s"/>
      <c r="G150" t="s"/>
      <c r="H150" t="s"/>
      <c r="I150" t="s"/>
      <c r="J150" t="n">
        <v>-0.1027</v>
      </c>
      <c r="K150" t="n">
        <v>0.149</v>
      </c>
      <c r="L150" t="n">
        <v>0.851</v>
      </c>
      <c r="M150" t="n">
        <v>0</v>
      </c>
    </row>
    <row r="151" spans="1:13">
      <c r="A151" s="1">
        <f>HYPERLINK("http://www.twitter.com/NathanBLawrence/status/996521939693985793", "996521939693985793")</f>
        <v/>
      </c>
      <c r="B151" s="2" t="n">
        <v>43235.94813657407</v>
      </c>
      <c r="C151" t="n">
        <v>0</v>
      </c>
      <c r="D151" t="n">
        <v>0</v>
      </c>
      <c r="E151" t="s">
        <v>162</v>
      </c>
      <c r="F151" t="s"/>
      <c r="G151" t="s"/>
      <c r="H151" t="s"/>
      <c r="I151" t="s"/>
      <c r="J151" t="n">
        <v>-0.4588</v>
      </c>
      <c r="K151" t="n">
        <v>0.5</v>
      </c>
      <c r="L151" t="n">
        <v>0.5</v>
      </c>
      <c r="M151" t="n">
        <v>0</v>
      </c>
    </row>
    <row r="152" spans="1:13">
      <c r="A152" s="1">
        <f>HYPERLINK("http://www.twitter.com/NathanBLawrence/status/996435278909857792", "996435278909857792")</f>
        <v/>
      </c>
      <c r="B152" s="2" t="n">
        <v>43235.70900462963</v>
      </c>
      <c r="C152" t="n">
        <v>1</v>
      </c>
      <c r="D152" t="n">
        <v>0</v>
      </c>
      <c r="E152" t="s">
        <v>163</v>
      </c>
      <c r="F152" t="s"/>
      <c r="G152" t="s"/>
      <c r="H152" t="s"/>
      <c r="I152" t="s"/>
      <c r="J152" t="n">
        <v>0.5719</v>
      </c>
      <c r="K152" t="n">
        <v>0</v>
      </c>
      <c r="L152" t="n">
        <v>0.719</v>
      </c>
      <c r="M152" t="n">
        <v>0.281</v>
      </c>
    </row>
    <row r="153" spans="1:13">
      <c r="A153" s="1">
        <f>HYPERLINK("http://www.twitter.com/NathanBLawrence/status/996432740122849280", "996432740122849280")</f>
        <v/>
      </c>
      <c r="B153" s="2" t="n">
        <v>43235.70199074074</v>
      </c>
      <c r="C153" t="n">
        <v>0</v>
      </c>
      <c r="D153" t="n">
        <v>0</v>
      </c>
      <c r="E153" t="s">
        <v>164</v>
      </c>
      <c r="F153" t="s"/>
      <c r="G153" t="s"/>
      <c r="H153" t="s"/>
      <c r="I153" t="s"/>
      <c r="J153" t="n">
        <v>-0.449</v>
      </c>
      <c r="K153" t="n">
        <v>0.425</v>
      </c>
      <c r="L153" t="n">
        <v>0.364</v>
      </c>
      <c r="M153" t="n">
        <v>0.211</v>
      </c>
    </row>
    <row r="154" spans="1:13">
      <c r="A154" s="1">
        <f>HYPERLINK("http://www.twitter.com/NathanBLawrence/status/996432083168976898", "996432083168976898")</f>
        <v/>
      </c>
      <c r="B154" s="2" t="n">
        <v>43235.70018518518</v>
      </c>
      <c r="C154" t="n">
        <v>0</v>
      </c>
      <c r="D154" t="n">
        <v>0</v>
      </c>
      <c r="E154" t="s">
        <v>165</v>
      </c>
      <c r="F154" t="s"/>
      <c r="G154" t="s"/>
      <c r="H154" t="s"/>
      <c r="I154" t="s"/>
      <c r="J154" t="n">
        <v>0</v>
      </c>
      <c r="K154" t="n">
        <v>0</v>
      </c>
      <c r="L154" t="n">
        <v>1</v>
      </c>
      <c r="M154" t="n">
        <v>0</v>
      </c>
    </row>
    <row r="155" spans="1:13">
      <c r="A155" s="1">
        <f>HYPERLINK("http://www.twitter.com/NathanBLawrence/status/996429966412787714", "996429966412787714")</f>
        <v/>
      </c>
      <c r="B155" s="2" t="n">
        <v>43235.69434027778</v>
      </c>
      <c r="C155" t="n">
        <v>0</v>
      </c>
      <c r="D155" t="n">
        <v>0</v>
      </c>
      <c r="E155" t="s">
        <v>166</v>
      </c>
      <c r="F155" t="s"/>
      <c r="G155" t="s"/>
      <c r="H155" t="s"/>
      <c r="I155" t="s"/>
      <c r="J155" t="n">
        <v>-0.7264</v>
      </c>
      <c r="K155" t="n">
        <v>0.202</v>
      </c>
      <c r="L155" t="n">
        <v>0.798</v>
      </c>
      <c r="M155" t="n">
        <v>0</v>
      </c>
    </row>
    <row r="156" spans="1:13">
      <c r="A156" s="1">
        <f>HYPERLINK("http://www.twitter.com/NathanBLawrence/status/996429405068124163", "996429405068124163")</f>
        <v/>
      </c>
      <c r="B156" s="2" t="n">
        <v>43235.69278935185</v>
      </c>
      <c r="C156" t="n">
        <v>0</v>
      </c>
      <c r="D156" t="n">
        <v>0</v>
      </c>
      <c r="E156" t="s">
        <v>167</v>
      </c>
      <c r="F156" t="s"/>
      <c r="G156" t="s"/>
      <c r="H156" t="s"/>
      <c r="I156" t="s"/>
      <c r="J156" t="n">
        <v>0</v>
      </c>
      <c r="K156" t="n">
        <v>0</v>
      </c>
      <c r="L156" t="n">
        <v>1</v>
      </c>
      <c r="M156" t="n">
        <v>0</v>
      </c>
    </row>
    <row r="157" spans="1:13">
      <c r="A157" s="1">
        <f>HYPERLINK("http://www.twitter.com/NathanBLawrence/status/996427097504669696", "996427097504669696")</f>
        <v/>
      </c>
      <c r="B157" s="2" t="n">
        <v>43235.68642361111</v>
      </c>
      <c r="C157" t="n">
        <v>3</v>
      </c>
      <c r="D157" t="n">
        <v>3</v>
      </c>
      <c r="E157" t="s">
        <v>168</v>
      </c>
      <c r="F157" t="s"/>
      <c r="G157" t="s"/>
      <c r="H157" t="s"/>
      <c r="I157" t="s"/>
      <c r="J157" t="n">
        <v>0</v>
      </c>
      <c r="K157" t="n">
        <v>0</v>
      </c>
      <c r="L157" t="n">
        <v>1</v>
      </c>
      <c r="M157" t="n">
        <v>0</v>
      </c>
    </row>
    <row r="158" spans="1:13">
      <c r="A158" s="1">
        <f>HYPERLINK("http://www.twitter.com/NathanBLawrence/status/996426817321005056", "996426817321005056")</f>
        <v/>
      </c>
      <c r="B158" s="2" t="n">
        <v>43235.68564814814</v>
      </c>
      <c r="C158" t="n">
        <v>0</v>
      </c>
      <c r="D158" t="n">
        <v>6686</v>
      </c>
      <c r="E158" t="s">
        <v>169</v>
      </c>
      <c r="F158" t="s"/>
      <c r="G158" t="s"/>
      <c r="H158" t="s"/>
      <c r="I158" t="s"/>
      <c r="J158" t="n">
        <v>-0.8074</v>
      </c>
      <c r="K158" t="n">
        <v>0.328</v>
      </c>
      <c r="L158" t="n">
        <v>0.672</v>
      </c>
      <c r="M158" t="n">
        <v>0</v>
      </c>
    </row>
    <row r="159" spans="1:13">
      <c r="A159" s="1">
        <f>HYPERLINK("http://www.twitter.com/NathanBLawrence/status/996377166932832256", "996377166932832256")</f>
        <v/>
      </c>
      <c r="B159" s="2" t="n">
        <v>43235.54864583333</v>
      </c>
      <c r="C159" t="n">
        <v>1</v>
      </c>
      <c r="D159" t="n">
        <v>1</v>
      </c>
      <c r="E159" t="s">
        <v>170</v>
      </c>
      <c r="F159" t="s"/>
      <c r="G159" t="s"/>
      <c r="H159" t="s"/>
      <c r="I159" t="s"/>
      <c r="J159" t="n">
        <v>0.7783</v>
      </c>
      <c r="K159" t="n">
        <v>0</v>
      </c>
      <c r="L159" t="n">
        <v>0.673</v>
      </c>
      <c r="M159" t="n">
        <v>0.327</v>
      </c>
    </row>
    <row r="160" spans="1:13">
      <c r="A160" s="1">
        <f>HYPERLINK("http://www.twitter.com/NathanBLawrence/status/996373616727150592", "996373616727150592")</f>
        <v/>
      </c>
      <c r="B160" s="2" t="n">
        <v>43235.53884259259</v>
      </c>
      <c r="C160" t="n">
        <v>0</v>
      </c>
      <c r="D160" t="n">
        <v>0</v>
      </c>
      <c r="E160" t="s">
        <v>171</v>
      </c>
      <c r="F160" t="s"/>
      <c r="G160" t="s"/>
      <c r="H160" t="s"/>
      <c r="I160" t="s"/>
      <c r="J160" t="n">
        <v>-0.296</v>
      </c>
      <c r="K160" t="n">
        <v>0.18</v>
      </c>
      <c r="L160" t="n">
        <v>0.82</v>
      </c>
      <c r="M160" t="n">
        <v>0</v>
      </c>
    </row>
    <row r="161" spans="1:13">
      <c r="A161" s="1">
        <f>HYPERLINK("http://www.twitter.com/NathanBLawrence/status/996339035290423296", "996339035290423296")</f>
        <v/>
      </c>
      <c r="B161" s="2" t="n">
        <v>43235.44341435185</v>
      </c>
      <c r="C161" t="n">
        <v>0</v>
      </c>
      <c r="D161" t="n">
        <v>0</v>
      </c>
      <c r="E161" t="s">
        <v>172</v>
      </c>
      <c r="F161" t="s"/>
      <c r="G161" t="s"/>
      <c r="H161" t="s"/>
      <c r="I161" t="s"/>
      <c r="J161" t="n">
        <v>0.6808</v>
      </c>
      <c r="K161" t="n">
        <v>0</v>
      </c>
      <c r="L161" t="n">
        <v>0.641</v>
      </c>
      <c r="M161" t="n">
        <v>0.359</v>
      </c>
    </row>
    <row r="162" spans="1:13">
      <c r="A162" s="1">
        <f>HYPERLINK("http://www.twitter.com/NathanBLawrence/status/996244738629087232", "996244738629087232")</f>
        <v/>
      </c>
      <c r="B162" s="2" t="n">
        <v>43235.18320601852</v>
      </c>
      <c r="C162" t="n">
        <v>0</v>
      </c>
      <c r="D162" t="n">
        <v>12404</v>
      </c>
      <c r="E162" t="s">
        <v>173</v>
      </c>
      <c r="F162" t="s"/>
      <c r="G162" t="s"/>
      <c r="H162" t="s"/>
      <c r="I162" t="s"/>
      <c r="J162" t="n">
        <v>0</v>
      </c>
      <c r="K162" t="n">
        <v>0</v>
      </c>
      <c r="L162" t="n">
        <v>1</v>
      </c>
      <c r="M162" t="n">
        <v>0</v>
      </c>
    </row>
    <row r="163" spans="1:13">
      <c r="A163" s="1">
        <f>HYPERLINK("http://www.twitter.com/NathanBLawrence/status/996241984263282690", "996241984263282690")</f>
        <v/>
      </c>
      <c r="B163" s="2" t="n">
        <v>43235.17560185185</v>
      </c>
      <c r="C163" t="n">
        <v>1</v>
      </c>
      <c r="D163" t="n">
        <v>0</v>
      </c>
      <c r="E163" t="s">
        <v>174</v>
      </c>
      <c r="F163" t="s"/>
      <c r="G163" t="s"/>
      <c r="H163" t="s"/>
      <c r="I163" t="s"/>
      <c r="J163" t="n">
        <v>-0.3348</v>
      </c>
      <c r="K163" t="n">
        <v>0.106</v>
      </c>
      <c r="L163" t="n">
        <v>0.894</v>
      </c>
      <c r="M163" t="n">
        <v>0</v>
      </c>
    </row>
    <row r="164" spans="1:13">
      <c r="A164" s="1">
        <f>HYPERLINK("http://www.twitter.com/NathanBLawrence/status/996241227682144256", "996241227682144256")</f>
        <v/>
      </c>
      <c r="B164" s="2" t="n">
        <v>43235.17351851852</v>
      </c>
      <c r="C164" t="n">
        <v>0</v>
      </c>
      <c r="D164" t="n">
        <v>0</v>
      </c>
      <c r="E164" t="s">
        <v>175</v>
      </c>
      <c r="F164" t="s"/>
      <c r="G164" t="s"/>
      <c r="H164" t="s"/>
      <c r="I164" t="s"/>
      <c r="J164" t="n">
        <v>-0.2247</v>
      </c>
      <c r="K164" t="n">
        <v>0.162</v>
      </c>
      <c r="L164" t="n">
        <v>0.718</v>
      </c>
      <c r="M164" t="n">
        <v>0.12</v>
      </c>
    </row>
    <row r="165" spans="1:13">
      <c r="A165" s="1">
        <f>HYPERLINK("http://www.twitter.com/NathanBLawrence/status/996239852449476608", "996239852449476608")</f>
        <v/>
      </c>
      <c r="B165" s="2" t="n">
        <v>43235.16972222222</v>
      </c>
      <c r="C165" t="n">
        <v>2</v>
      </c>
      <c r="D165" t="n">
        <v>2</v>
      </c>
      <c r="E165" t="s">
        <v>176</v>
      </c>
      <c r="F165" t="s"/>
      <c r="G165" t="s"/>
      <c r="H165" t="s"/>
      <c r="I165" t="s"/>
      <c r="J165" t="n">
        <v>0.5859</v>
      </c>
      <c r="K165" t="n">
        <v>0</v>
      </c>
      <c r="L165" t="n">
        <v>0.714</v>
      </c>
      <c r="M165" t="n">
        <v>0.286</v>
      </c>
    </row>
    <row r="166" spans="1:13">
      <c r="A166" s="1">
        <f>HYPERLINK("http://www.twitter.com/NathanBLawrence/status/996239693439229952", "996239693439229952")</f>
        <v/>
      </c>
      <c r="B166" s="2" t="n">
        <v>43235.16928240741</v>
      </c>
      <c r="C166" t="n">
        <v>1</v>
      </c>
      <c r="D166" t="n">
        <v>1</v>
      </c>
      <c r="E166" t="s">
        <v>177</v>
      </c>
      <c r="F166" t="s"/>
      <c r="G166" t="s"/>
      <c r="H166" t="s"/>
      <c r="I166" t="s"/>
      <c r="J166" t="n">
        <v>0.6382</v>
      </c>
      <c r="K166" t="n">
        <v>0.109</v>
      </c>
      <c r="L166" t="n">
        <v>0.6919999999999999</v>
      </c>
      <c r="M166" t="n">
        <v>0.199</v>
      </c>
    </row>
    <row r="167" spans="1:13">
      <c r="A167" s="1">
        <f>HYPERLINK("http://www.twitter.com/NathanBLawrence/status/996229874527473664", "996229874527473664")</f>
        <v/>
      </c>
      <c r="B167" s="2" t="n">
        <v>43235.1421875</v>
      </c>
      <c r="C167" t="n">
        <v>3</v>
      </c>
      <c r="D167" t="n">
        <v>0</v>
      </c>
      <c r="E167" t="s">
        <v>178</v>
      </c>
      <c r="F167" t="s"/>
      <c r="G167" t="s"/>
      <c r="H167" t="s"/>
      <c r="I167" t="s"/>
      <c r="J167" t="n">
        <v>0.2732</v>
      </c>
      <c r="K167" t="n">
        <v>0.1</v>
      </c>
      <c r="L167" t="n">
        <v>0.708</v>
      </c>
      <c r="M167" t="n">
        <v>0.192</v>
      </c>
    </row>
    <row r="168" spans="1:13">
      <c r="A168" s="1">
        <f>HYPERLINK("http://www.twitter.com/NathanBLawrence/status/996227905280716801", "996227905280716801")</f>
        <v/>
      </c>
      <c r="B168" s="2" t="n">
        <v>43235.13675925926</v>
      </c>
      <c r="C168" t="n">
        <v>1</v>
      </c>
      <c r="D168" t="n">
        <v>0</v>
      </c>
      <c r="E168" t="s">
        <v>179</v>
      </c>
      <c r="F168" t="s"/>
      <c r="G168" t="s"/>
      <c r="H168" t="s"/>
      <c r="I168" t="s"/>
      <c r="J168" t="n">
        <v>-0.5423</v>
      </c>
      <c r="K168" t="n">
        <v>0.28</v>
      </c>
      <c r="L168" t="n">
        <v>0.72</v>
      </c>
      <c r="M168" t="n">
        <v>0</v>
      </c>
    </row>
    <row r="169" spans="1:13">
      <c r="A169" s="1">
        <f>HYPERLINK("http://www.twitter.com/NathanBLawrence/status/996223658287869952", "996223658287869952")</f>
        <v/>
      </c>
      <c r="B169" s="2" t="n">
        <v>43235.12503472222</v>
      </c>
      <c r="C169" t="n">
        <v>0</v>
      </c>
      <c r="D169" t="n">
        <v>0</v>
      </c>
      <c r="E169" t="s">
        <v>180</v>
      </c>
      <c r="F169" t="s"/>
      <c r="G169" t="s"/>
      <c r="H169" t="s"/>
      <c r="I169" t="s"/>
      <c r="J169" t="n">
        <v>0.743</v>
      </c>
      <c r="K169" t="n">
        <v>0</v>
      </c>
      <c r="L169" t="n">
        <v>0.526</v>
      </c>
      <c r="M169" t="n">
        <v>0.474</v>
      </c>
    </row>
    <row r="170" spans="1:13">
      <c r="A170" s="1">
        <f>HYPERLINK("http://www.twitter.com/NathanBLawrence/status/996219810991300613", "996219810991300613")</f>
        <v/>
      </c>
      <c r="B170" s="2" t="n">
        <v>43235.1144212963</v>
      </c>
      <c r="C170" t="n">
        <v>0</v>
      </c>
      <c r="D170" t="n">
        <v>0</v>
      </c>
      <c r="E170" t="s">
        <v>181</v>
      </c>
      <c r="F170" t="s"/>
      <c r="G170" t="s"/>
      <c r="H170" t="s"/>
      <c r="I170" t="s"/>
      <c r="J170" t="n">
        <v>0</v>
      </c>
      <c r="K170" t="n">
        <v>0</v>
      </c>
      <c r="L170" t="n">
        <v>1</v>
      </c>
      <c r="M170" t="n">
        <v>0</v>
      </c>
    </row>
    <row r="171" spans="1:13">
      <c r="A171" s="1">
        <f>HYPERLINK("http://www.twitter.com/NathanBLawrence/status/996218109118894080", "996218109118894080")</f>
        <v/>
      </c>
      <c r="B171" s="2" t="n">
        <v>43235.10972222222</v>
      </c>
      <c r="C171" t="n">
        <v>0</v>
      </c>
      <c r="D171" t="n">
        <v>7</v>
      </c>
      <c r="E171" t="s">
        <v>182</v>
      </c>
      <c r="F171" t="s"/>
      <c r="G171" t="s"/>
      <c r="H171" t="s"/>
      <c r="I171" t="s"/>
      <c r="J171" t="n">
        <v>0.364</v>
      </c>
      <c r="K171" t="n">
        <v>0</v>
      </c>
      <c r="L171" t="n">
        <v>0.893</v>
      </c>
      <c r="M171" t="n">
        <v>0.107</v>
      </c>
    </row>
    <row r="172" spans="1:13">
      <c r="A172" s="1">
        <f>HYPERLINK("http://www.twitter.com/NathanBLawrence/status/996216155659481088", "996216155659481088")</f>
        <v/>
      </c>
      <c r="B172" s="2" t="n">
        <v>43235.1043287037</v>
      </c>
      <c r="C172" t="n">
        <v>0</v>
      </c>
      <c r="D172" t="n">
        <v>3</v>
      </c>
      <c r="E172" t="s">
        <v>183</v>
      </c>
      <c r="F172" t="s"/>
      <c r="G172" t="s"/>
      <c r="H172" t="s"/>
      <c r="I172" t="s"/>
      <c r="J172" t="n">
        <v>-0.1901</v>
      </c>
      <c r="K172" t="n">
        <v>0.127</v>
      </c>
      <c r="L172" t="n">
        <v>0.873</v>
      </c>
      <c r="M172" t="n">
        <v>0</v>
      </c>
    </row>
    <row r="173" spans="1:13">
      <c r="A173" s="1">
        <f>HYPERLINK("http://www.twitter.com/NathanBLawrence/status/996214905052303360", "996214905052303360")</f>
        <v/>
      </c>
      <c r="B173" s="2" t="n">
        <v>43235.10087962963</v>
      </c>
      <c r="C173" t="n">
        <v>1</v>
      </c>
      <c r="D173" t="n">
        <v>1</v>
      </c>
      <c r="E173" t="s">
        <v>184</v>
      </c>
      <c r="F173" t="s"/>
      <c r="G173" t="s"/>
      <c r="H173" t="s"/>
      <c r="I173" t="s"/>
      <c r="J173" t="n">
        <v>0</v>
      </c>
      <c r="K173" t="n">
        <v>0</v>
      </c>
      <c r="L173" t="n">
        <v>1</v>
      </c>
      <c r="M173" t="n">
        <v>0</v>
      </c>
    </row>
    <row r="174" spans="1:13">
      <c r="A174" s="1">
        <f>HYPERLINK("http://www.twitter.com/NathanBLawrence/status/996210611557150721", "996210611557150721")</f>
        <v/>
      </c>
      <c r="B174" s="2" t="n">
        <v>43235.08903935185</v>
      </c>
      <c r="C174" t="n">
        <v>31</v>
      </c>
      <c r="D174" t="n">
        <v>12</v>
      </c>
      <c r="E174" t="s">
        <v>185</v>
      </c>
      <c r="F174" t="s"/>
      <c r="G174" t="s"/>
      <c r="H174" t="s"/>
      <c r="I174" t="s"/>
      <c r="J174" t="n">
        <v>0.5242</v>
      </c>
      <c r="K174" t="n">
        <v>0.066</v>
      </c>
      <c r="L174" t="n">
        <v>0.743</v>
      </c>
      <c r="M174" t="n">
        <v>0.191</v>
      </c>
    </row>
    <row r="175" spans="1:13">
      <c r="A175" s="1">
        <f>HYPERLINK("http://www.twitter.com/NathanBLawrence/status/996209444508831744", "996209444508831744")</f>
        <v/>
      </c>
      <c r="B175" s="2" t="n">
        <v>43235.08581018518</v>
      </c>
      <c r="C175" t="n">
        <v>9</v>
      </c>
      <c r="D175" t="n">
        <v>6</v>
      </c>
      <c r="E175" t="s">
        <v>186</v>
      </c>
      <c r="F175" t="s"/>
      <c r="G175" t="s"/>
      <c r="H175" t="s"/>
      <c r="I175" t="s"/>
      <c r="J175" t="n">
        <v>-0.4898</v>
      </c>
      <c r="K175" t="n">
        <v>0.105</v>
      </c>
      <c r="L175" t="n">
        <v>0.895</v>
      </c>
      <c r="M175" t="n">
        <v>0</v>
      </c>
    </row>
    <row r="176" spans="1:13">
      <c r="A176" s="1">
        <f>HYPERLINK("http://www.twitter.com/NathanBLawrence/status/996203791790768129", "996203791790768129")</f>
        <v/>
      </c>
      <c r="B176" s="2" t="n">
        <v>43235.07021990741</v>
      </c>
      <c r="C176" t="n">
        <v>1</v>
      </c>
      <c r="D176" t="n">
        <v>0</v>
      </c>
      <c r="E176" t="s">
        <v>187</v>
      </c>
      <c r="F176" t="s"/>
      <c r="G176" t="s"/>
      <c r="H176" t="s"/>
      <c r="I176" t="s"/>
      <c r="J176" t="n">
        <v>0</v>
      </c>
      <c r="K176" t="n">
        <v>0</v>
      </c>
      <c r="L176" t="n">
        <v>1</v>
      </c>
      <c r="M176" t="n">
        <v>0</v>
      </c>
    </row>
    <row r="177" spans="1:13">
      <c r="A177" s="1">
        <f>HYPERLINK("http://www.twitter.com/NathanBLawrence/status/996203582990020611", "996203582990020611")</f>
        <v/>
      </c>
      <c r="B177" s="2" t="n">
        <v>43235.06964120371</v>
      </c>
      <c r="C177" t="n">
        <v>0</v>
      </c>
      <c r="D177" t="n">
        <v>0</v>
      </c>
      <c r="E177" t="s">
        <v>188</v>
      </c>
      <c r="F177" t="s"/>
      <c r="G177" t="s"/>
      <c r="H177" t="s"/>
      <c r="I177" t="s"/>
      <c r="J177" t="n">
        <v>0</v>
      </c>
      <c r="K177" t="n">
        <v>0</v>
      </c>
      <c r="L177" t="n">
        <v>1</v>
      </c>
      <c r="M177" t="n">
        <v>0</v>
      </c>
    </row>
    <row r="178" spans="1:13">
      <c r="A178" s="1">
        <f>HYPERLINK("http://www.twitter.com/NathanBLawrence/status/996192080123875328", "996192080123875328")</f>
        <v/>
      </c>
      <c r="B178" s="2" t="n">
        <v>43235.03789351852</v>
      </c>
      <c r="C178" t="n">
        <v>1</v>
      </c>
      <c r="D178" t="n">
        <v>0</v>
      </c>
      <c r="E178" t="s">
        <v>189</v>
      </c>
      <c r="F178" t="s"/>
      <c r="G178" t="s"/>
      <c r="H178" t="s"/>
      <c r="I178" t="s"/>
      <c r="J178" t="n">
        <v>-0.34</v>
      </c>
      <c r="K178" t="n">
        <v>0.076</v>
      </c>
      <c r="L178" t="n">
        <v>0.924</v>
      </c>
      <c r="M178" t="n">
        <v>0</v>
      </c>
    </row>
    <row r="179" spans="1:13">
      <c r="A179" s="1">
        <f>HYPERLINK("http://www.twitter.com/NathanBLawrence/status/996189834288029697", "996189834288029697")</f>
        <v/>
      </c>
      <c r="B179" s="2" t="n">
        <v>43235.03170138889</v>
      </c>
      <c r="C179" t="n">
        <v>1</v>
      </c>
      <c r="D179" t="n">
        <v>1</v>
      </c>
      <c r="E179" t="s">
        <v>190</v>
      </c>
      <c r="F179">
        <f>HYPERLINK("http://pbs.twimg.com/media/DdMtXdjV4AAnZPB.jpg", "http://pbs.twimg.com/media/DdMtXdjV4AAnZPB.jpg")</f>
        <v/>
      </c>
      <c r="G179" t="s"/>
      <c r="H179" t="s"/>
      <c r="I179" t="s"/>
      <c r="J179" t="n">
        <v>0</v>
      </c>
      <c r="K179" t="n">
        <v>0</v>
      </c>
      <c r="L179" t="n">
        <v>1</v>
      </c>
      <c r="M179" t="n">
        <v>0</v>
      </c>
    </row>
    <row r="180" spans="1:13">
      <c r="A180" s="1">
        <f>HYPERLINK("http://www.twitter.com/NathanBLawrence/status/996189467068289024", "996189467068289024")</f>
        <v/>
      </c>
      <c r="B180" s="2" t="n">
        <v>43235.03068287037</v>
      </c>
      <c r="C180" t="n">
        <v>0</v>
      </c>
      <c r="D180" t="n">
        <v>0</v>
      </c>
      <c r="E180" t="s">
        <v>191</v>
      </c>
      <c r="F180" t="s"/>
      <c r="G180" t="s"/>
      <c r="H180" t="s"/>
      <c r="I180" t="s"/>
      <c r="J180" t="n">
        <v>0.5789</v>
      </c>
      <c r="K180" t="n">
        <v>0.08</v>
      </c>
      <c r="L180" t="n">
        <v>0.752</v>
      </c>
      <c r="M180" t="n">
        <v>0.168</v>
      </c>
    </row>
    <row r="181" spans="1:13">
      <c r="A181" s="1">
        <f>HYPERLINK("http://www.twitter.com/NathanBLawrence/status/996188286271016960", "996188286271016960")</f>
        <v/>
      </c>
      <c r="B181" s="2" t="n">
        <v>43235.02743055556</v>
      </c>
      <c r="C181" t="n">
        <v>1</v>
      </c>
      <c r="D181" t="n">
        <v>0</v>
      </c>
      <c r="E181" t="s">
        <v>192</v>
      </c>
      <c r="F181" t="s"/>
      <c r="G181" t="s"/>
      <c r="H181" t="s"/>
      <c r="I181" t="s"/>
      <c r="J181" t="n">
        <v>0</v>
      </c>
      <c r="K181" t="n">
        <v>0</v>
      </c>
      <c r="L181" t="n">
        <v>1</v>
      </c>
      <c r="M181" t="n">
        <v>0</v>
      </c>
    </row>
    <row r="182" spans="1:13">
      <c r="A182" s="1">
        <f>HYPERLINK("http://www.twitter.com/NathanBLawrence/status/996188164753674240", "996188164753674240")</f>
        <v/>
      </c>
      <c r="B182" s="2" t="n">
        <v>43235.0270949074</v>
      </c>
      <c r="C182" t="n">
        <v>1</v>
      </c>
      <c r="D182" t="n">
        <v>0</v>
      </c>
      <c r="E182" t="s">
        <v>193</v>
      </c>
      <c r="F182" t="s"/>
      <c r="G182" t="s"/>
      <c r="H182" t="s"/>
      <c r="I182" t="s"/>
      <c r="J182" t="n">
        <v>-0.1779</v>
      </c>
      <c r="K182" t="n">
        <v>0.111</v>
      </c>
      <c r="L182" t="n">
        <v>0.823</v>
      </c>
      <c r="M182" t="n">
        <v>0.067</v>
      </c>
    </row>
    <row r="183" spans="1:13">
      <c r="A183" s="1">
        <f>HYPERLINK("http://www.twitter.com/NathanBLawrence/status/996185682669383680", "996185682669383680")</f>
        <v/>
      </c>
      <c r="B183" s="2" t="n">
        <v>43235.02024305556</v>
      </c>
      <c r="C183" t="n">
        <v>0</v>
      </c>
      <c r="D183" t="n">
        <v>0</v>
      </c>
      <c r="E183" t="s">
        <v>194</v>
      </c>
      <c r="F183" t="s"/>
      <c r="G183" t="s"/>
      <c r="H183" t="s"/>
      <c r="I183" t="s"/>
      <c r="J183" t="n">
        <v>-0.6597</v>
      </c>
      <c r="K183" t="n">
        <v>0.595</v>
      </c>
      <c r="L183" t="n">
        <v>0.405</v>
      </c>
      <c r="M183" t="n">
        <v>0</v>
      </c>
    </row>
    <row r="184" spans="1:13">
      <c r="A184" s="1">
        <f>HYPERLINK("http://www.twitter.com/NathanBLawrence/status/996185005490614273", "996185005490614273")</f>
        <v/>
      </c>
      <c r="B184" s="2" t="n">
        <v>43235.01837962963</v>
      </c>
      <c r="C184" t="n">
        <v>0</v>
      </c>
      <c r="D184" t="n">
        <v>0</v>
      </c>
      <c r="E184" t="s">
        <v>195</v>
      </c>
      <c r="F184" t="s"/>
      <c r="G184" t="s"/>
      <c r="H184" t="s"/>
      <c r="I184" t="s"/>
      <c r="J184" t="n">
        <v>-0.0258</v>
      </c>
      <c r="K184" t="n">
        <v>0.151</v>
      </c>
      <c r="L184" t="n">
        <v>0.703</v>
      </c>
      <c r="M184" t="n">
        <v>0.146</v>
      </c>
    </row>
    <row r="185" spans="1:13">
      <c r="A185" s="1">
        <f>HYPERLINK("http://www.twitter.com/NathanBLawrence/status/996183452067168257", "996183452067168257")</f>
        <v/>
      </c>
      <c r="B185" s="2" t="n">
        <v>43235.01408564814</v>
      </c>
      <c r="C185" t="n">
        <v>0</v>
      </c>
      <c r="D185" t="n">
        <v>0</v>
      </c>
      <c r="E185" t="s">
        <v>196</v>
      </c>
      <c r="F185" t="s"/>
      <c r="G185" t="s"/>
      <c r="H185" t="s"/>
      <c r="I185" t="s"/>
      <c r="J185" t="n">
        <v>-0.4019</v>
      </c>
      <c r="K185" t="n">
        <v>0.351</v>
      </c>
      <c r="L185" t="n">
        <v>0.649</v>
      </c>
      <c r="M185" t="n">
        <v>0</v>
      </c>
    </row>
    <row r="186" spans="1:13">
      <c r="A186" s="1">
        <f>HYPERLINK("http://www.twitter.com/NathanBLawrence/status/996182810103775233", "996182810103775233")</f>
        <v/>
      </c>
      <c r="B186" s="2" t="n">
        <v>43235.01231481481</v>
      </c>
      <c r="C186" t="n">
        <v>0</v>
      </c>
      <c r="D186" t="n">
        <v>0</v>
      </c>
      <c r="E186" t="s">
        <v>197</v>
      </c>
      <c r="F186" t="s"/>
      <c r="G186" t="s"/>
      <c r="H186" t="s"/>
      <c r="I186" t="s"/>
      <c r="J186" t="n">
        <v>-0.5526</v>
      </c>
      <c r="K186" t="n">
        <v>0.471</v>
      </c>
      <c r="L186" t="n">
        <v>0.529</v>
      </c>
      <c r="M186" t="n">
        <v>0</v>
      </c>
    </row>
    <row r="187" spans="1:13">
      <c r="A187" s="1">
        <f>HYPERLINK("http://www.twitter.com/NathanBLawrence/status/996182510840307712", "996182510840307712")</f>
        <v/>
      </c>
      <c r="B187" s="2" t="n">
        <v>43235.01149305556</v>
      </c>
      <c r="C187" t="n">
        <v>0</v>
      </c>
      <c r="D187" t="n">
        <v>0</v>
      </c>
      <c r="E187" t="s">
        <v>198</v>
      </c>
      <c r="F187" t="s"/>
      <c r="G187" t="s"/>
      <c r="H187" t="s"/>
      <c r="I187" t="s"/>
      <c r="J187" t="n">
        <v>0</v>
      </c>
      <c r="K187" t="n">
        <v>0</v>
      </c>
      <c r="L187" t="n">
        <v>1</v>
      </c>
      <c r="M187" t="n">
        <v>0</v>
      </c>
    </row>
    <row r="188" spans="1:13">
      <c r="A188" s="1">
        <f>HYPERLINK("http://www.twitter.com/NathanBLawrence/status/996182185882288134", "996182185882288134")</f>
        <v/>
      </c>
      <c r="B188" s="2" t="n">
        <v>43235.01059027778</v>
      </c>
      <c r="C188" t="n">
        <v>0</v>
      </c>
      <c r="D188" t="n">
        <v>0</v>
      </c>
      <c r="E188" t="s">
        <v>199</v>
      </c>
      <c r="F188" t="s"/>
      <c r="G188" t="s"/>
      <c r="H188" t="s"/>
      <c r="I188" t="s"/>
      <c r="J188" t="n">
        <v>0</v>
      </c>
      <c r="K188" t="n">
        <v>0</v>
      </c>
      <c r="L188" t="n">
        <v>1</v>
      </c>
      <c r="M188" t="n">
        <v>0</v>
      </c>
    </row>
    <row r="189" spans="1:13">
      <c r="A189" s="1">
        <f>HYPERLINK("http://www.twitter.com/NathanBLawrence/status/996181631273721857", "996181631273721857")</f>
        <v/>
      </c>
      <c r="B189" s="2" t="n">
        <v>43235.0090625</v>
      </c>
      <c r="C189" t="n">
        <v>1</v>
      </c>
      <c r="D189" t="n">
        <v>0</v>
      </c>
      <c r="E189" t="s">
        <v>200</v>
      </c>
      <c r="F189" t="s"/>
      <c r="G189" t="s"/>
      <c r="H189" t="s"/>
      <c r="I189" t="s"/>
      <c r="J189" t="n">
        <v>0.4404</v>
      </c>
      <c r="K189" t="n">
        <v>0</v>
      </c>
      <c r="L189" t="n">
        <v>0.868</v>
      </c>
      <c r="M189" t="n">
        <v>0.132</v>
      </c>
    </row>
    <row r="190" spans="1:13">
      <c r="A190" s="1">
        <f>HYPERLINK("http://www.twitter.com/NathanBLawrence/status/996181267115925504", "996181267115925504")</f>
        <v/>
      </c>
      <c r="B190" s="2" t="n">
        <v>43235.00805555555</v>
      </c>
      <c r="C190" t="n">
        <v>1</v>
      </c>
      <c r="D190" t="n">
        <v>0</v>
      </c>
      <c r="E190" t="s">
        <v>201</v>
      </c>
      <c r="F190" t="s"/>
      <c r="G190" t="s"/>
      <c r="H190" t="s"/>
      <c r="I190" t="s"/>
      <c r="J190" t="n">
        <v>0</v>
      </c>
      <c r="K190" t="n">
        <v>0</v>
      </c>
      <c r="L190" t="n">
        <v>1</v>
      </c>
      <c r="M190" t="n">
        <v>0</v>
      </c>
    </row>
    <row r="191" spans="1:13">
      <c r="A191" s="1">
        <f>HYPERLINK("http://www.twitter.com/NathanBLawrence/status/996180588489998336", "996180588489998336")</f>
        <v/>
      </c>
      <c r="B191" s="2" t="n">
        <v>43235.00619212963</v>
      </c>
      <c r="C191" t="n">
        <v>0</v>
      </c>
      <c r="D191" t="n">
        <v>0</v>
      </c>
      <c r="E191" t="s">
        <v>202</v>
      </c>
      <c r="F191">
        <f>HYPERLINK("http://pbs.twimg.com/media/DdMk9pTWkAAgVJJ.jpg", "http://pbs.twimg.com/media/DdMk9pTWkAAgVJJ.jpg")</f>
        <v/>
      </c>
      <c r="G191" t="s"/>
      <c r="H191" t="s"/>
      <c r="I191" t="s"/>
      <c r="J191" t="n">
        <v>0</v>
      </c>
      <c r="K191" t="n">
        <v>0</v>
      </c>
      <c r="L191" t="n">
        <v>1</v>
      </c>
      <c r="M191" t="n">
        <v>0</v>
      </c>
    </row>
    <row r="192" spans="1:13">
      <c r="A192" s="1">
        <f>HYPERLINK("http://www.twitter.com/NathanBLawrence/status/996178047853264897", "996178047853264897")</f>
        <v/>
      </c>
      <c r="B192" s="2" t="n">
        <v>43234.99917824074</v>
      </c>
      <c r="C192" t="n">
        <v>3</v>
      </c>
      <c r="D192" t="n">
        <v>1</v>
      </c>
      <c r="E192" t="s">
        <v>203</v>
      </c>
      <c r="F192" t="s"/>
      <c r="G192" t="s"/>
      <c r="H192" t="s"/>
      <c r="I192" t="s"/>
      <c r="J192" t="n">
        <v>0.6486</v>
      </c>
      <c r="K192" t="n">
        <v>0</v>
      </c>
      <c r="L192" t="n">
        <v>0.654</v>
      </c>
      <c r="M192" t="n">
        <v>0.346</v>
      </c>
    </row>
    <row r="193" spans="1:13">
      <c r="A193" s="1">
        <f>HYPERLINK("http://www.twitter.com/NathanBLawrence/status/996177688611250176", "996177688611250176")</f>
        <v/>
      </c>
      <c r="B193" s="2" t="n">
        <v>43234.99818287037</v>
      </c>
      <c r="C193" t="n">
        <v>0</v>
      </c>
      <c r="D193" t="n">
        <v>0</v>
      </c>
      <c r="E193" t="s">
        <v>204</v>
      </c>
      <c r="F193" t="s"/>
      <c r="G193" t="s"/>
      <c r="H193" t="s"/>
      <c r="I193" t="s"/>
      <c r="J193" t="n">
        <v>0</v>
      </c>
      <c r="K193" t="n">
        <v>0</v>
      </c>
      <c r="L193" t="n">
        <v>1</v>
      </c>
      <c r="M193" t="n">
        <v>0</v>
      </c>
    </row>
    <row r="194" spans="1:13">
      <c r="A194" s="1">
        <f>HYPERLINK("http://www.twitter.com/NathanBLawrence/status/996168702260404228", "996168702260404228")</f>
        <v/>
      </c>
      <c r="B194" s="2" t="n">
        <v>43234.9733912037</v>
      </c>
      <c r="C194" t="n">
        <v>6</v>
      </c>
      <c r="D194" t="n">
        <v>0</v>
      </c>
      <c r="E194" t="s">
        <v>205</v>
      </c>
      <c r="F194" t="s"/>
      <c r="G194" t="s"/>
      <c r="H194" t="s"/>
      <c r="I194" t="s"/>
      <c r="J194" t="n">
        <v>-0.3971</v>
      </c>
      <c r="K194" t="n">
        <v>0.552</v>
      </c>
      <c r="L194" t="n">
        <v>0.154</v>
      </c>
      <c r="M194" t="n">
        <v>0.293</v>
      </c>
    </row>
    <row r="195" spans="1:13">
      <c r="A195" s="1">
        <f>HYPERLINK("http://www.twitter.com/NathanBLawrence/status/996147012088320002", "996147012088320002")</f>
        <v/>
      </c>
      <c r="B195" s="2" t="n">
        <v>43234.91353009259</v>
      </c>
      <c r="C195" t="n">
        <v>0</v>
      </c>
      <c r="D195" t="n">
        <v>23</v>
      </c>
      <c r="E195" t="s">
        <v>206</v>
      </c>
      <c r="F195" t="s"/>
      <c r="G195" t="s"/>
      <c r="H195" t="s"/>
      <c r="I195" t="s"/>
      <c r="J195" t="n">
        <v>0</v>
      </c>
      <c r="K195" t="n">
        <v>0</v>
      </c>
      <c r="L195" t="n">
        <v>1</v>
      </c>
      <c r="M195" t="n">
        <v>0</v>
      </c>
    </row>
    <row r="196" spans="1:13">
      <c r="A196" s="1">
        <f>HYPERLINK("http://www.twitter.com/NathanBLawrence/status/996118722531287042", "996118722531287042")</f>
        <v/>
      </c>
      <c r="B196" s="2" t="n">
        <v>43234.83547453704</v>
      </c>
      <c r="C196" t="n">
        <v>0</v>
      </c>
      <c r="D196" t="n">
        <v>0</v>
      </c>
      <c r="E196" t="s">
        <v>207</v>
      </c>
      <c r="F196" t="s"/>
      <c r="G196" t="s"/>
      <c r="H196" t="s"/>
      <c r="I196" t="s"/>
      <c r="J196" t="n">
        <v>0.128</v>
      </c>
      <c r="K196" t="n">
        <v>0</v>
      </c>
      <c r="L196" t="n">
        <v>0.914</v>
      </c>
      <c r="M196" t="n">
        <v>0.08599999999999999</v>
      </c>
    </row>
    <row r="197" spans="1:13">
      <c r="A197" s="1">
        <f>HYPERLINK("http://www.twitter.com/NathanBLawrence/status/996100367808172032", "996100367808172032")</f>
        <v/>
      </c>
      <c r="B197" s="2" t="n">
        <v>43234.78481481481</v>
      </c>
      <c r="C197" t="n">
        <v>0</v>
      </c>
      <c r="D197" t="n">
        <v>16</v>
      </c>
      <c r="E197" t="s">
        <v>208</v>
      </c>
      <c r="F197" t="s"/>
      <c r="G197" t="s"/>
      <c r="H197" t="s"/>
      <c r="I197" t="s"/>
      <c r="J197" t="n">
        <v>0.128</v>
      </c>
      <c r="K197" t="n">
        <v>0.089</v>
      </c>
      <c r="L197" t="n">
        <v>0.802</v>
      </c>
      <c r="M197" t="n">
        <v>0.11</v>
      </c>
    </row>
    <row r="198" spans="1:13">
      <c r="A198" s="1">
        <f>HYPERLINK("http://www.twitter.com/NathanBLawrence/status/996091154033717248", "996091154033717248")</f>
        <v/>
      </c>
      <c r="B198" s="2" t="n">
        <v>43234.75939814815</v>
      </c>
      <c r="C198" t="n">
        <v>0</v>
      </c>
      <c r="D198" t="n">
        <v>0</v>
      </c>
      <c r="E198" t="s">
        <v>209</v>
      </c>
      <c r="F198" t="s"/>
      <c r="G198" t="s"/>
      <c r="H198" t="s"/>
      <c r="I198" t="s"/>
      <c r="J198" t="n">
        <v>0</v>
      </c>
      <c r="K198" t="n">
        <v>0</v>
      </c>
      <c r="L198" t="n">
        <v>1</v>
      </c>
      <c r="M198" t="n">
        <v>0</v>
      </c>
    </row>
    <row r="199" spans="1:13">
      <c r="A199" s="1">
        <f>HYPERLINK("http://www.twitter.com/NathanBLawrence/status/996090766635294722", "996090766635294722")</f>
        <v/>
      </c>
      <c r="B199" s="2" t="n">
        <v>43234.75832175926</v>
      </c>
      <c r="C199" t="n">
        <v>1</v>
      </c>
      <c r="D199" t="n">
        <v>0</v>
      </c>
      <c r="E199" t="s">
        <v>210</v>
      </c>
      <c r="F199" t="s"/>
      <c r="G199" t="s"/>
      <c r="H199" t="s"/>
      <c r="I199" t="s"/>
      <c r="J199" t="n">
        <v>0.5859</v>
      </c>
      <c r="K199" t="n">
        <v>0</v>
      </c>
      <c r="L199" t="n">
        <v>0.625</v>
      </c>
      <c r="M199" t="n">
        <v>0.375</v>
      </c>
    </row>
    <row r="200" spans="1:13">
      <c r="A200" s="1">
        <f>HYPERLINK("http://www.twitter.com/NathanBLawrence/status/996089250721550336", "996089250721550336")</f>
        <v/>
      </c>
      <c r="B200" s="2" t="n">
        <v>43234.75414351852</v>
      </c>
      <c r="C200" t="n">
        <v>2</v>
      </c>
      <c r="D200" t="n">
        <v>0</v>
      </c>
      <c r="E200" t="s">
        <v>211</v>
      </c>
      <c r="F200" t="s"/>
      <c r="G200" t="s"/>
      <c r="H200" t="s"/>
      <c r="I200" t="s"/>
      <c r="J200" t="n">
        <v>0</v>
      </c>
      <c r="K200" t="n">
        <v>0</v>
      </c>
      <c r="L200" t="n">
        <v>1</v>
      </c>
      <c r="M200" t="n">
        <v>0</v>
      </c>
    </row>
    <row r="201" spans="1:13">
      <c r="A201" s="1">
        <f>HYPERLINK("http://www.twitter.com/NathanBLawrence/status/996088468244697088", "996088468244697088")</f>
        <v/>
      </c>
      <c r="B201" s="2" t="n">
        <v>43234.75197916666</v>
      </c>
      <c r="C201" t="n">
        <v>0</v>
      </c>
      <c r="D201" t="n">
        <v>12</v>
      </c>
      <c r="E201" t="s">
        <v>212</v>
      </c>
      <c r="F201">
        <f>HYPERLINK("http://pbs.twimg.com/media/DdLMleGVMAANN6D.jpg", "http://pbs.twimg.com/media/DdLMleGVMAANN6D.jpg")</f>
        <v/>
      </c>
      <c r="G201" t="s"/>
      <c r="H201" t="s"/>
      <c r="I201" t="s"/>
      <c r="J201" t="n">
        <v>0</v>
      </c>
      <c r="K201" t="n">
        <v>0</v>
      </c>
      <c r="L201" t="n">
        <v>1</v>
      </c>
      <c r="M201" t="n">
        <v>0</v>
      </c>
    </row>
    <row r="202" spans="1:13">
      <c r="A202" s="1">
        <f>HYPERLINK("http://www.twitter.com/NathanBLawrence/status/996080399880212480", "996080399880212480")</f>
        <v/>
      </c>
      <c r="B202" s="2" t="n">
        <v>43234.72972222222</v>
      </c>
      <c r="C202" t="n">
        <v>1</v>
      </c>
      <c r="D202" t="n">
        <v>0</v>
      </c>
      <c r="E202" t="s">
        <v>213</v>
      </c>
      <c r="F202" t="s"/>
      <c r="G202" t="s"/>
      <c r="H202" t="s"/>
      <c r="I202" t="s"/>
      <c r="J202" t="n">
        <v>0.4939</v>
      </c>
      <c r="K202" t="n">
        <v>0</v>
      </c>
      <c r="L202" t="n">
        <v>0.758</v>
      </c>
      <c r="M202" t="n">
        <v>0.242</v>
      </c>
    </row>
    <row r="203" spans="1:13">
      <c r="A203" s="1">
        <f>HYPERLINK("http://www.twitter.com/NathanBLawrence/status/996078367681196033", "996078367681196033")</f>
        <v/>
      </c>
      <c r="B203" s="2" t="n">
        <v>43234.7241087963</v>
      </c>
      <c r="C203" t="n">
        <v>0</v>
      </c>
      <c r="D203" t="n">
        <v>0</v>
      </c>
      <c r="E203" t="s">
        <v>214</v>
      </c>
      <c r="F203" t="s"/>
      <c r="G203" t="s"/>
      <c r="H203" t="s"/>
      <c r="I203" t="s"/>
      <c r="J203" t="n">
        <v>-0.296</v>
      </c>
      <c r="K203" t="n">
        <v>0.196</v>
      </c>
      <c r="L203" t="n">
        <v>0.804</v>
      </c>
      <c r="M203" t="n">
        <v>0</v>
      </c>
    </row>
    <row r="204" spans="1:13">
      <c r="A204" s="1">
        <f>HYPERLINK("http://www.twitter.com/NathanBLawrence/status/996077939384049666", "996077939384049666")</f>
        <v/>
      </c>
      <c r="B204" s="2" t="n">
        <v>43234.72292824074</v>
      </c>
      <c r="C204" t="n">
        <v>3</v>
      </c>
      <c r="D204" t="n">
        <v>0</v>
      </c>
      <c r="E204" t="s">
        <v>215</v>
      </c>
      <c r="F204" t="s"/>
      <c r="G204" t="s"/>
      <c r="H204" t="s"/>
      <c r="I204" t="s"/>
      <c r="J204" t="n">
        <v>0</v>
      </c>
      <c r="K204" t="n">
        <v>0</v>
      </c>
      <c r="L204" t="n">
        <v>1</v>
      </c>
      <c r="M204" t="n">
        <v>0</v>
      </c>
    </row>
    <row r="205" spans="1:13">
      <c r="A205" s="1">
        <f>HYPERLINK("http://www.twitter.com/NathanBLawrence/status/996075474517413893", "996075474517413893")</f>
        <v/>
      </c>
      <c r="B205" s="2" t="n">
        <v>43234.71612268518</v>
      </c>
      <c r="C205" t="n">
        <v>1</v>
      </c>
      <c r="D205" t="n">
        <v>0</v>
      </c>
      <c r="E205" t="s">
        <v>216</v>
      </c>
      <c r="F205" t="s"/>
      <c r="G205" t="s"/>
      <c r="H205" t="s"/>
      <c r="I205" t="s"/>
      <c r="J205" t="n">
        <v>-0.1363</v>
      </c>
      <c r="K205" t="n">
        <v>0.306</v>
      </c>
      <c r="L205" t="n">
        <v>0.434</v>
      </c>
      <c r="M205" t="n">
        <v>0.26</v>
      </c>
    </row>
    <row r="206" spans="1:13">
      <c r="A206" s="1">
        <f>HYPERLINK("http://www.twitter.com/NathanBLawrence/status/996074929341849600", "996074929341849600")</f>
        <v/>
      </c>
      <c r="B206" s="2" t="n">
        <v>43234.71461805556</v>
      </c>
      <c r="C206" t="n">
        <v>0</v>
      </c>
      <c r="D206" t="n">
        <v>0</v>
      </c>
      <c r="E206" t="s">
        <v>217</v>
      </c>
      <c r="F206" t="s"/>
      <c r="G206" t="s"/>
      <c r="H206" t="s"/>
      <c r="I206" t="s"/>
      <c r="J206" t="n">
        <v>0.3082</v>
      </c>
      <c r="K206" t="n">
        <v>0.154</v>
      </c>
      <c r="L206" t="n">
        <v>0.616</v>
      </c>
      <c r="M206" t="n">
        <v>0.231</v>
      </c>
    </row>
    <row r="207" spans="1:13">
      <c r="A207" s="1">
        <f>HYPERLINK("http://www.twitter.com/NathanBLawrence/status/996073550351077378", "996073550351077378")</f>
        <v/>
      </c>
      <c r="B207" s="2" t="n">
        <v>43234.71082175926</v>
      </c>
      <c r="C207" t="n">
        <v>0</v>
      </c>
      <c r="D207" t="n">
        <v>4</v>
      </c>
      <c r="E207" t="s">
        <v>218</v>
      </c>
      <c r="F207" t="s"/>
      <c r="G207" t="s"/>
      <c r="H207" t="s"/>
      <c r="I207" t="s"/>
      <c r="J207" t="n">
        <v>0.34</v>
      </c>
      <c r="K207" t="n">
        <v>0.082</v>
      </c>
      <c r="L207" t="n">
        <v>0.786</v>
      </c>
      <c r="M207" t="n">
        <v>0.132</v>
      </c>
    </row>
    <row r="208" spans="1:13">
      <c r="A208" s="1">
        <f>HYPERLINK("http://www.twitter.com/NathanBLawrence/status/996072053970296834", "996072053970296834")</f>
        <v/>
      </c>
      <c r="B208" s="2" t="n">
        <v>43234.70668981481</v>
      </c>
      <c r="C208" t="n">
        <v>0</v>
      </c>
      <c r="D208" t="n">
        <v>3</v>
      </c>
      <c r="E208" t="s">
        <v>219</v>
      </c>
      <c r="F208" t="s"/>
      <c r="G208" t="s"/>
      <c r="H208" t="s"/>
      <c r="I208" t="s"/>
      <c r="J208" t="n">
        <v>-0.1779</v>
      </c>
      <c r="K208" t="n">
        <v>0.114</v>
      </c>
      <c r="L208" t="n">
        <v>0.8110000000000001</v>
      </c>
      <c r="M208" t="n">
        <v>0.076</v>
      </c>
    </row>
    <row r="209" spans="1:13">
      <c r="A209" s="1">
        <f>HYPERLINK("http://www.twitter.com/NathanBLawrence/status/996071576058650625", "996071576058650625")</f>
        <v/>
      </c>
      <c r="B209" s="2" t="n">
        <v>43234.70537037037</v>
      </c>
      <c r="C209" t="n">
        <v>0</v>
      </c>
      <c r="D209" t="n">
        <v>29</v>
      </c>
      <c r="E209" t="s">
        <v>220</v>
      </c>
      <c r="F209" t="s"/>
      <c r="G209" t="s"/>
      <c r="H209" t="s"/>
      <c r="I209" t="s"/>
      <c r="J209" t="n">
        <v>-0.3612</v>
      </c>
      <c r="K209" t="n">
        <v>0.116</v>
      </c>
      <c r="L209" t="n">
        <v>0.884</v>
      </c>
      <c r="M209" t="n">
        <v>0</v>
      </c>
    </row>
    <row r="210" spans="1:13">
      <c r="A210" s="1">
        <f>HYPERLINK("http://www.twitter.com/NathanBLawrence/status/996070578690969601", "996070578690969601")</f>
        <v/>
      </c>
      <c r="B210" s="2" t="n">
        <v>43234.70261574074</v>
      </c>
      <c r="C210" t="n">
        <v>0</v>
      </c>
      <c r="D210" t="n">
        <v>0</v>
      </c>
      <c r="E210" t="s">
        <v>221</v>
      </c>
      <c r="F210" t="s"/>
      <c r="G210" t="s"/>
      <c r="H210" t="s"/>
      <c r="I210" t="s"/>
      <c r="J210" t="n">
        <v>0.4019</v>
      </c>
      <c r="K210" t="n">
        <v>0</v>
      </c>
      <c r="L210" t="n">
        <v>0.597</v>
      </c>
      <c r="M210" t="n">
        <v>0.403</v>
      </c>
    </row>
    <row r="211" spans="1:13">
      <c r="A211" s="1">
        <f>HYPERLINK("http://www.twitter.com/NathanBLawrence/status/996070293763510273", "996070293763510273")</f>
        <v/>
      </c>
      <c r="B211" s="2" t="n">
        <v>43234.70182870371</v>
      </c>
      <c r="C211" t="n">
        <v>0</v>
      </c>
      <c r="D211" t="n">
        <v>0</v>
      </c>
      <c r="E211" t="s">
        <v>222</v>
      </c>
      <c r="F211" t="s"/>
      <c r="G211" t="s"/>
      <c r="H211" t="s"/>
      <c r="I211" t="s"/>
      <c r="J211" t="n">
        <v>0</v>
      </c>
      <c r="K211" t="n">
        <v>0</v>
      </c>
      <c r="L211" t="n">
        <v>1</v>
      </c>
      <c r="M211" t="n">
        <v>0</v>
      </c>
    </row>
    <row r="212" spans="1:13">
      <c r="A212" s="1">
        <f>HYPERLINK("http://www.twitter.com/NathanBLawrence/status/996068550858113024", "996068550858113024")</f>
        <v/>
      </c>
      <c r="B212" s="2" t="n">
        <v>43234.69702546296</v>
      </c>
      <c r="C212" t="n">
        <v>52</v>
      </c>
      <c r="D212" t="n">
        <v>30</v>
      </c>
      <c r="E212" t="s">
        <v>223</v>
      </c>
      <c r="F212" t="s"/>
      <c r="G212" t="s"/>
      <c r="H212" t="s"/>
      <c r="I212" t="s"/>
      <c r="J212" t="n">
        <v>-0.596</v>
      </c>
      <c r="K212" t="n">
        <v>0.138</v>
      </c>
      <c r="L212" t="n">
        <v>0.83</v>
      </c>
      <c r="M212" t="n">
        <v>0.031</v>
      </c>
    </row>
    <row r="213" spans="1:13">
      <c r="A213" s="1">
        <f>HYPERLINK("http://www.twitter.com/NathanBLawrence/status/996065353892589568", "996065353892589568")</f>
        <v/>
      </c>
      <c r="B213" s="2" t="n">
        <v>43234.68820601852</v>
      </c>
      <c r="C213" t="n">
        <v>2</v>
      </c>
      <c r="D213" t="n">
        <v>0</v>
      </c>
      <c r="E213" t="s">
        <v>224</v>
      </c>
      <c r="F213" t="s"/>
      <c r="G213" t="s"/>
      <c r="H213" t="s"/>
      <c r="I213" t="s"/>
      <c r="J213" t="n">
        <v>-0.3597</v>
      </c>
      <c r="K213" t="n">
        <v>0.333</v>
      </c>
      <c r="L213" t="n">
        <v>0.667</v>
      </c>
      <c r="M213" t="n">
        <v>0</v>
      </c>
    </row>
    <row r="214" spans="1:13">
      <c r="A214" s="1">
        <f>HYPERLINK("http://www.twitter.com/NathanBLawrence/status/996065277686243328", "996065277686243328")</f>
        <v/>
      </c>
      <c r="B214" s="2" t="n">
        <v>43234.68798611111</v>
      </c>
      <c r="C214" t="n">
        <v>0</v>
      </c>
      <c r="D214" t="n">
        <v>9</v>
      </c>
      <c r="E214" t="s">
        <v>225</v>
      </c>
      <c r="F214" t="s"/>
      <c r="G214" t="s"/>
      <c r="H214" t="s"/>
      <c r="I214" t="s"/>
      <c r="J214" t="n">
        <v>-0.1779</v>
      </c>
      <c r="K214" t="n">
        <v>0.097</v>
      </c>
      <c r="L214" t="n">
        <v>0.837</v>
      </c>
      <c r="M214" t="n">
        <v>0.066</v>
      </c>
    </row>
    <row r="215" spans="1:13">
      <c r="A215" s="1">
        <f>HYPERLINK("http://www.twitter.com/NathanBLawrence/status/996065023452737538", "996065023452737538")</f>
        <v/>
      </c>
      <c r="B215" s="2" t="n">
        <v>43234.68729166667</v>
      </c>
      <c r="C215" t="n">
        <v>0</v>
      </c>
      <c r="D215" t="n">
        <v>0</v>
      </c>
      <c r="E215" t="s">
        <v>226</v>
      </c>
      <c r="F215" t="s"/>
      <c r="G215" t="s"/>
      <c r="H215" t="s"/>
      <c r="I215" t="s"/>
      <c r="J215" t="n">
        <v>-0.6908</v>
      </c>
      <c r="K215" t="n">
        <v>0.61</v>
      </c>
      <c r="L215" t="n">
        <v>0.39</v>
      </c>
      <c r="M215" t="n">
        <v>0</v>
      </c>
    </row>
    <row r="216" spans="1:13">
      <c r="A216" s="1">
        <f>HYPERLINK("http://www.twitter.com/NathanBLawrence/status/996039244731834368", "996039244731834368")</f>
        <v/>
      </c>
      <c r="B216" s="2" t="n">
        <v>43234.61615740741</v>
      </c>
      <c r="C216" t="n">
        <v>0</v>
      </c>
      <c r="D216" t="n">
        <v>0</v>
      </c>
      <c r="E216" t="s">
        <v>227</v>
      </c>
      <c r="F216" t="s"/>
      <c r="G216" t="s"/>
      <c r="H216" t="s"/>
      <c r="I216" t="s"/>
      <c r="J216" t="n">
        <v>-0.2263</v>
      </c>
      <c r="K216" t="n">
        <v>0.177</v>
      </c>
      <c r="L216" t="n">
        <v>0.6899999999999999</v>
      </c>
      <c r="M216" t="n">
        <v>0.133</v>
      </c>
    </row>
    <row r="217" spans="1:13">
      <c r="A217" s="1">
        <f>HYPERLINK("http://www.twitter.com/NathanBLawrence/status/996027248049352704", "996027248049352704")</f>
        <v/>
      </c>
      <c r="B217" s="2" t="n">
        <v>43234.58304398148</v>
      </c>
      <c r="C217" t="n">
        <v>8</v>
      </c>
      <c r="D217" t="n">
        <v>0</v>
      </c>
      <c r="E217" t="s">
        <v>228</v>
      </c>
      <c r="F217" t="s"/>
      <c r="G217" t="s"/>
      <c r="H217" t="s"/>
      <c r="I217" t="s"/>
      <c r="J217" t="n">
        <v>0.7249</v>
      </c>
      <c r="K217" t="n">
        <v>0</v>
      </c>
      <c r="L217" t="n">
        <v>0.441</v>
      </c>
      <c r="M217" t="n">
        <v>0.5590000000000001</v>
      </c>
    </row>
    <row r="218" spans="1:13">
      <c r="A218" s="1">
        <f>HYPERLINK("http://www.twitter.com/NathanBLawrence/status/996027077085335552", "996027077085335552")</f>
        <v/>
      </c>
      <c r="B218" s="2" t="n">
        <v>43234.58258101852</v>
      </c>
      <c r="C218" t="n">
        <v>1</v>
      </c>
      <c r="D218" t="n">
        <v>1</v>
      </c>
      <c r="E218" t="s">
        <v>229</v>
      </c>
      <c r="F218" t="s"/>
      <c r="G218" t="s"/>
      <c r="H218" t="s"/>
      <c r="I218" t="s"/>
      <c r="J218" t="n">
        <v>0.7156</v>
      </c>
      <c r="K218" t="n">
        <v>0</v>
      </c>
      <c r="L218" t="n">
        <v>0.501</v>
      </c>
      <c r="M218" t="n">
        <v>0.499</v>
      </c>
    </row>
    <row r="219" spans="1:13">
      <c r="A219" s="1">
        <f>HYPERLINK("http://www.twitter.com/NathanBLawrence/status/996024989966045184", "996024989966045184")</f>
        <v/>
      </c>
      <c r="B219" s="2" t="n">
        <v>43234.57681712963</v>
      </c>
      <c r="C219" t="n">
        <v>1</v>
      </c>
      <c r="D219" t="n">
        <v>0</v>
      </c>
      <c r="E219" t="s">
        <v>230</v>
      </c>
      <c r="F219" t="s"/>
      <c r="G219" t="s"/>
      <c r="H219" t="s"/>
      <c r="I219" t="s"/>
      <c r="J219" t="n">
        <v>-0.6908</v>
      </c>
      <c r="K219" t="n">
        <v>0.61</v>
      </c>
      <c r="L219" t="n">
        <v>0.39</v>
      </c>
      <c r="M219" t="n">
        <v>0</v>
      </c>
    </row>
    <row r="220" spans="1:13">
      <c r="A220" s="1">
        <f>HYPERLINK("http://www.twitter.com/NathanBLawrence/status/996024346274619397", "996024346274619397")</f>
        <v/>
      </c>
      <c r="B220" s="2" t="n">
        <v>43234.5750462963</v>
      </c>
      <c r="C220" t="n">
        <v>3</v>
      </c>
      <c r="D220" t="n">
        <v>1</v>
      </c>
      <c r="E220" t="s">
        <v>231</v>
      </c>
      <c r="F220" t="s"/>
      <c r="G220" t="s"/>
      <c r="H220" t="s"/>
      <c r="I220" t="s"/>
      <c r="J220" t="n">
        <v>-0.5719</v>
      </c>
      <c r="K220" t="n">
        <v>0.198</v>
      </c>
      <c r="L220" t="n">
        <v>0.802</v>
      </c>
      <c r="M220" t="n">
        <v>0</v>
      </c>
    </row>
    <row r="221" spans="1:13">
      <c r="A221" s="1">
        <f>HYPERLINK("http://www.twitter.com/NathanBLawrence/status/996014710939058176", "996014710939058176")</f>
        <v/>
      </c>
      <c r="B221" s="2" t="n">
        <v>43234.54844907407</v>
      </c>
      <c r="C221" t="n">
        <v>1</v>
      </c>
      <c r="D221" t="n">
        <v>0</v>
      </c>
      <c r="E221" t="s">
        <v>232</v>
      </c>
      <c r="F221" t="s"/>
      <c r="G221" t="s"/>
      <c r="H221" t="s"/>
      <c r="I221" t="s"/>
      <c r="J221" t="n">
        <v>0.6808</v>
      </c>
      <c r="K221" t="n">
        <v>0</v>
      </c>
      <c r="L221" t="n">
        <v>0.472</v>
      </c>
      <c r="M221" t="n">
        <v>0.528</v>
      </c>
    </row>
    <row r="222" spans="1:13">
      <c r="A222" s="1">
        <f>HYPERLINK("http://www.twitter.com/NathanBLawrence/status/995847039895392256", "995847039895392256")</f>
        <v/>
      </c>
      <c r="B222" s="2" t="n">
        <v>43234.08576388889</v>
      </c>
      <c r="C222" t="n">
        <v>0</v>
      </c>
      <c r="D222" t="n">
        <v>0</v>
      </c>
      <c r="E222" t="s">
        <v>233</v>
      </c>
      <c r="F222" t="s"/>
      <c r="G222" t="s"/>
      <c r="H222" t="s"/>
      <c r="I222" t="s"/>
      <c r="J222" t="n">
        <v>0</v>
      </c>
      <c r="K222" t="n">
        <v>0</v>
      </c>
      <c r="L222" t="n">
        <v>1</v>
      </c>
      <c r="M222" t="n">
        <v>0</v>
      </c>
    </row>
    <row r="223" spans="1:13">
      <c r="A223" s="1">
        <f>HYPERLINK("http://www.twitter.com/NathanBLawrence/status/995822880117149702", "995822880117149702")</f>
        <v/>
      </c>
      <c r="B223" s="2" t="n">
        <v>43234.01909722222</v>
      </c>
      <c r="C223" t="n">
        <v>1</v>
      </c>
      <c r="D223" t="n">
        <v>0</v>
      </c>
      <c r="E223" t="s">
        <v>234</v>
      </c>
      <c r="F223" t="s"/>
      <c r="G223" t="s"/>
      <c r="H223" t="s"/>
      <c r="I223" t="s"/>
      <c r="J223" t="n">
        <v>0.6705</v>
      </c>
      <c r="K223" t="n">
        <v>0</v>
      </c>
      <c r="L223" t="n">
        <v>0.645</v>
      </c>
      <c r="M223" t="n">
        <v>0.355</v>
      </c>
    </row>
    <row r="224" spans="1:13">
      <c r="A224" s="1">
        <f>HYPERLINK("http://www.twitter.com/NathanBLawrence/status/995133446145085440", "995133446145085440")</f>
        <v/>
      </c>
      <c r="B224" s="2" t="n">
        <v>43232.11662037037</v>
      </c>
      <c r="C224" t="n">
        <v>1</v>
      </c>
      <c r="D224" t="n">
        <v>1</v>
      </c>
      <c r="E224" t="s">
        <v>235</v>
      </c>
      <c r="F224" t="s"/>
      <c r="G224" t="s"/>
      <c r="H224" t="s"/>
      <c r="I224" t="s"/>
      <c r="J224" t="n">
        <v>-0.5994</v>
      </c>
      <c r="K224" t="n">
        <v>0.14</v>
      </c>
      <c r="L224" t="n">
        <v>0.86</v>
      </c>
      <c r="M224" t="n">
        <v>0</v>
      </c>
    </row>
    <row r="225" spans="1:13">
      <c r="A225" s="1">
        <f>HYPERLINK("http://www.twitter.com/NathanBLawrence/status/995027579131265024", "995027579131265024")</f>
        <v/>
      </c>
      <c r="B225" s="2" t="n">
        <v>43231.82449074074</v>
      </c>
      <c r="C225" t="n">
        <v>0</v>
      </c>
      <c r="D225" t="n">
        <v>0</v>
      </c>
      <c r="E225" t="s">
        <v>236</v>
      </c>
      <c r="F225" t="s"/>
      <c r="G225" t="s"/>
      <c r="H225" t="s"/>
      <c r="I225" t="s"/>
      <c r="J225" t="n">
        <v>-0.5849</v>
      </c>
      <c r="K225" t="n">
        <v>0.229</v>
      </c>
      <c r="L225" t="n">
        <v>0.644</v>
      </c>
      <c r="M225" t="n">
        <v>0.127</v>
      </c>
    </row>
    <row r="226" spans="1:13">
      <c r="A226" s="1">
        <f>HYPERLINK("http://www.twitter.com/NathanBLawrence/status/994984735901405184", "994984735901405184")</f>
        <v/>
      </c>
      <c r="B226" s="2" t="n">
        <v>43231.70626157407</v>
      </c>
      <c r="C226" t="n">
        <v>0</v>
      </c>
      <c r="D226" t="n">
        <v>0</v>
      </c>
      <c r="E226" t="s">
        <v>237</v>
      </c>
      <c r="F226" t="s"/>
      <c r="G226" t="s"/>
      <c r="H226" t="s"/>
      <c r="I226" t="s"/>
      <c r="J226" t="n">
        <v>-0.1962</v>
      </c>
      <c r="K226" t="n">
        <v>0.131</v>
      </c>
      <c r="L226" t="n">
        <v>0.774</v>
      </c>
      <c r="M226" t="n">
        <v>0.096</v>
      </c>
    </row>
    <row r="227" spans="1:13">
      <c r="A227" s="1">
        <f>HYPERLINK("http://www.twitter.com/NathanBLawrence/status/994983801041424385", "994983801041424385")</f>
        <v/>
      </c>
      <c r="B227" s="2" t="n">
        <v>43231.70368055555</v>
      </c>
      <c r="C227" t="n">
        <v>0</v>
      </c>
      <c r="D227" t="n">
        <v>10</v>
      </c>
      <c r="E227" t="s">
        <v>238</v>
      </c>
      <c r="F227" t="s"/>
      <c r="G227" t="s"/>
      <c r="H227" t="s"/>
      <c r="I227" t="s"/>
      <c r="J227" t="n">
        <v>0</v>
      </c>
      <c r="K227" t="n">
        <v>0</v>
      </c>
      <c r="L227" t="n">
        <v>1</v>
      </c>
      <c r="M227" t="n">
        <v>0</v>
      </c>
    </row>
    <row r="228" spans="1:13">
      <c r="A228" s="1">
        <f>HYPERLINK("http://www.twitter.com/NathanBLawrence/status/994983353085497344", "994983353085497344")</f>
        <v/>
      </c>
      <c r="B228" s="2" t="n">
        <v>43231.70244212963</v>
      </c>
      <c r="C228" t="n">
        <v>0</v>
      </c>
      <c r="D228" t="n">
        <v>0</v>
      </c>
      <c r="E228" t="s">
        <v>239</v>
      </c>
      <c r="F228">
        <f>HYPERLINK("http://pbs.twimg.com/media/Dc7kFMMVAAAyH3U.jpg", "http://pbs.twimg.com/media/Dc7kFMMVAAAyH3U.jpg")</f>
        <v/>
      </c>
      <c r="G228" t="s"/>
      <c r="H228" t="s"/>
      <c r="I228" t="s"/>
      <c r="J228" t="n">
        <v>0.0258</v>
      </c>
      <c r="K228" t="n">
        <v>0</v>
      </c>
      <c r="L228" t="n">
        <v>0.784</v>
      </c>
      <c r="M228" t="n">
        <v>0.216</v>
      </c>
    </row>
    <row r="229" spans="1:13">
      <c r="A229" s="1">
        <f>HYPERLINK("http://www.twitter.com/NathanBLawrence/status/994982320556986368", "994982320556986368")</f>
        <v/>
      </c>
      <c r="B229" s="2" t="n">
        <v>43231.6995949074</v>
      </c>
      <c r="C229" t="n">
        <v>0</v>
      </c>
      <c r="D229" t="n">
        <v>0</v>
      </c>
      <c r="E229" t="s">
        <v>240</v>
      </c>
      <c r="F229">
        <f>HYPERLINK("http://pbs.twimg.com/media/Dc7jI0wVAAE-Iul.jpg", "http://pbs.twimg.com/media/Dc7jI0wVAAE-Iul.jpg")</f>
        <v/>
      </c>
      <c r="G229" t="s"/>
      <c r="H229" t="s"/>
      <c r="I229" t="s"/>
      <c r="J229" t="n">
        <v>0</v>
      </c>
      <c r="K229" t="n">
        <v>0</v>
      </c>
      <c r="L229" t="n">
        <v>1</v>
      </c>
      <c r="M229" t="n">
        <v>0</v>
      </c>
    </row>
    <row r="230" spans="1:13">
      <c r="A230" s="1">
        <f>HYPERLINK("http://www.twitter.com/NathanBLawrence/status/994982009872187395", "994982009872187395")</f>
        <v/>
      </c>
      <c r="B230" s="2" t="n">
        <v>43231.69873842593</v>
      </c>
      <c r="C230" t="n">
        <v>0</v>
      </c>
      <c r="D230" t="n">
        <v>0</v>
      </c>
      <c r="E230" t="s">
        <v>241</v>
      </c>
      <c r="F230">
        <f>HYPERLINK("http://pbs.twimg.com/media/Dc7i11yVMAA17FX.jpg", "http://pbs.twimg.com/media/Dc7i11yVMAA17FX.jpg")</f>
        <v/>
      </c>
      <c r="G230" t="s"/>
      <c r="H230" t="s"/>
      <c r="I230" t="s"/>
      <c r="J230" t="n">
        <v>0</v>
      </c>
      <c r="K230" t="n">
        <v>0</v>
      </c>
      <c r="L230" t="n">
        <v>1</v>
      </c>
      <c r="M230" t="n">
        <v>0</v>
      </c>
    </row>
    <row r="231" spans="1:13">
      <c r="A231" s="1">
        <f>HYPERLINK("http://www.twitter.com/NathanBLawrence/status/994974611875024898", "994974611875024898")</f>
        <v/>
      </c>
      <c r="B231" s="2" t="n">
        <v>43231.67832175926</v>
      </c>
      <c r="C231" t="n">
        <v>0</v>
      </c>
      <c r="D231" t="n">
        <v>14</v>
      </c>
      <c r="E231" t="s">
        <v>242</v>
      </c>
      <c r="F231" t="s"/>
      <c r="G231" t="s"/>
      <c r="H231" t="s"/>
      <c r="I231" t="s"/>
      <c r="J231" t="n">
        <v>-0.296</v>
      </c>
      <c r="K231" t="n">
        <v>0.121</v>
      </c>
      <c r="L231" t="n">
        <v>0.879</v>
      </c>
      <c r="M231" t="n">
        <v>0</v>
      </c>
    </row>
    <row r="232" spans="1:13">
      <c r="A232" s="1">
        <f>HYPERLINK("http://www.twitter.com/NathanBLawrence/status/994972068562300928", "994972068562300928")</f>
        <v/>
      </c>
      <c r="B232" s="2" t="n">
        <v>43231.67130787037</v>
      </c>
      <c r="C232" t="n">
        <v>0</v>
      </c>
      <c r="D232" t="n">
        <v>13</v>
      </c>
      <c r="E232" t="s">
        <v>243</v>
      </c>
      <c r="F232" t="s"/>
      <c r="G232" t="s"/>
      <c r="H232" t="s"/>
      <c r="I232" t="s"/>
      <c r="J232" t="n">
        <v>-0.4588</v>
      </c>
      <c r="K232" t="n">
        <v>0.134</v>
      </c>
      <c r="L232" t="n">
        <v>0.8129999999999999</v>
      </c>
      <c r="M232" t="n">
        <v>0.053</v>
      </c>
    </row>
    <row r="233" spans="1:13">
      <c r="A233" s="1">
        <f>HYPERLINK("http://www.twitter.com/NathanBLawrence/status/994971001212547073", "994971001212547073")</f>
        <v/>
      </c>
      <c r="B233" s="2" t="n">
        <v>43231.66836805556</v>
      </c>
      <c r="C233" t="n">
        <v>0</v>
      </c>
      <c r="D233" t="n">
        <v>0</v>
      </c>
      <c r="E233" t="s">
        <v>244</v>
      </c>
      <c r="F233" t="s"/>
      <c r="G233" t="s"/>
      <c r="H233" t="s"/>
      <c r="I233" t="s"/>
      <c r="J233" t="n">
        <v>-0.0772</v>
      </c>
      <c r="K233" t="n">
        <v>0.152</v>
      </c>
      <c r="L233" t="n">
        <v>0.711</v>
      </c>
      <c r="M233" t="n">
        <v>0.137</v>
      </c>
    </row>
    <row r="234" spans="1:13">
      <c r="A234" s="1">
        <f>HYPERLINK("http://www.twitter.com/NathanBLawrence/status/994970681401016321", "994970681401016321")</f>
        <v/>
      </c>
      <c r="B234" s="2" t="n">
        <v>43231.66747685185</v>
      </c>
      <c r="C234" t="n">
        <v>0</v>
      </c>
      <c r="D234" t="n">
        <v>14</v>
      </c>
      <c r="E234" t="s">
        <v>245</v>
      </c>
      <c r="F234" t="s"/>
      <c r="G234" t="s"/>
      <c r="H234" t="s"/>
      <c r="I234" t="s"/>
      <c r="J234" t="n">
        <v>-0.4588</v>
      </c>
      <c r="K234" t="n">
        <v>0.134</v>
      </c>
      <c r="L234" t="n">
        <v>0.8129999999999999</v>
      </c>
      <c r="M234" t="n">
        <v>0.053</v>
      </c>
    </row>
    <row r="235" spans="1:13">
      <c r="A235" s="1">
        <f>HYPERLINK("http://www.twitter.com/NathanBLawrence/status/994970231025164293", "994970231025164293")</f>
        <v/>
      </c>
      <c r="B235" s="2" t="n">
        <v>43231.66623842593</v>
      </c>
      <c r="C235" t="n">
        <v>2</v>
      </c>
      <c r="D235" t="n">
        <v>0</v>
      </c>
      <c r="E235" t="s">
        <v>246</v>
      </c>
      <c r="F235" t="s"/>
      <c r="G235" t="s"/>
      <c r="H235" t="s"/>
      <c r="I235" t="s"/>
      <c r="J235" t="n">
        <v>0</v>
      </c>
      <c r="K235" t="n">
        <v>0</v>
      </c>
      <c r="L235" t="n">
        <v>1</v>
      </c>
      <c r="M235" t="n">
        <v>0</v>
      </c>
    </row>
    <row r="236" spans="1:13">
      <c r="A236" s="1">
        <f>HYPERLINK("http://www.twitter.com/NathanBLawrence/status/994968317424230400", "994968317424230400")</f>
        <v/>
      </c>
      <c r="B236" s="2" t="n">
        <v>43231.66096064815</v>
      </c>
      <c r="C236" t="n">
        <v>0</v>
      </c>
      <c r="D236" t="n">
        <v>0</v>
      </c>
      <c r="E236" t="s">
        <v>247</v>
      </c>
      <c r="F236" t="s"/>
      <c r="G236" t="s"/>
      <c r="H236" t="s"/>
      <c r="I236" t="s"/>
      <c r="J236" t="n">
        <v>-0.6369</v>
      </c>
      <c r="K236" t="n">
        <v>0.286</v>
      </c>
      <c r="L236" t="n">
        <v>0.714</v>
      </c>
      <c r="M236" t="n">
        <v>0</v>
      </c>
    </row>
    <row r="237" spans="1:13">
      <c r="A237" s="1">
        <f>HYPERLINK("http://www.twitter.com/NathanBLawrence/status/994967996186718213", "994967996186718213")</f>
        <v/>
      </c>
      <c r="B237" s="2" t="n">
        <v>43231.66006944444</v>
      </c>
      <c r="C237" t="n">
        <v>0</v>
      </c>
      <c r="D237" t="n">
        <v>24</v>
      </c>
      <c r="E237" t="s">
        <v>248</v>
      </c>
      <c r="F237">
        <f>HYPERLINK("http://pbs.twimg.com/media/Dc7VvbWWAAICvgK.jpg", "http://pbs.twimg.com/media/Dc7VvbWWAAICvgK.jpg")</f>
        <v/>
      </c>
      <c r="G237" t="s"/>
      <c r="H237" t="s"/>
      <c r="I237" t="s"/>
      <c r="J237" t="n">
        <v>-0.4184</v>
      </c>
      <c r="K237" t="n">
        <v>0.112</v>
      </c>
      <c r="L237" t="n">
        <v>0.888</v>
      </c>
      <c r="M237" t="n">
        <v>0</v>
      </c>
    </row>
    <row r="238" spans="1:13">
      <c r="A238" s="1">
        <f>HYPERLINK("http://www.twitter.com/NathanBLawrence/status/994964997166989313", "994964997166989313")</f>
        <v/>
      </c>
      <c r="B238" s="2" t="n">
        <v>43231.65179398148</v>
      </c>
      <c r="C238" t="n">
        <v>0</v>
      </c>
      <c r="D238" t="n">
        <v>0</v>
      </c>
      <c r="E238" t="s">
        <v>249</v>
      </c>
      <c r="F238" t="s"/>
      <c r="G238" t="s"/>
      <c r="H238" t="s"/>
      <c r="I238" t="s"/>
      <c r="J238" t="n">
        <v>-0.7579</v>
      </c>
      <c r="K238" t="n">
        <v>0.619</v>
      </c>
      <c r="L238" t="n">
        <v>0.381</v>
      </c>
      <c r="M238" t="n">
        <v>0</v>
      </c>
    </row>
    <row r="239" spans="1:13">
      <c r="A239" s="1">
        <f>HYPERLINK("http://www.twitter.com/NathanBLawrence/status/994964823413751808", "994964823413751808")</f>
        <v/>
      </c>
      <c r="B239" s="2" t="n">
        <v>43231.65131944444</v>
      </c>
      <c r="C239" t="n">
        <v>3</v>
      </c>
      <c r="D239" t="n">
        <v>0</v>
      </c>
      <c r="E239" t="s">
        <v>250</v>
      </c>
      <c r="F239" t="s"/>
      <c r="G239" t="s"/>
      <c r="H239" t="s"/>
      <c r="I239" t="s"/>
      <c r="J239" t="n">
        <v>0.2732</v>
      </c>
      <c r="K239" t="n">
        <v>0</v>
      </c>
      <c r="L239" t="n">
        <v>0.8110000000000001</v>
      </c>
      <c r="M239" t="n">
        <v>0.189</v>
      </c>
    </row>
    <row r="240" spans="1:13">
      <c r="A240" s="1">
        <f>HYPERLINK("http://www.twitter.com/NathanBLawrence/status/994912497462403072", "994912497462403072")</f>
        <v/>
      </c>
      <c r="B240" s="2" t="n">
        <v>43231.5069212963</v>
      </c>
      <c r="C240" t="n">
        <v>1</v>
      </c>
      <c r="D240" t="n">
        <v>0</v>
      </c>
      <c r="E240" t="s">
        <v>251</v>
      </c>
      <c r="F240" t="s"/>
      <c r="G240" t="s"/>
      <c r="H240" t="s"/>
      <c r="I240" t="s"/>
      <c r="J240" t="n">
        <v>0.34</v>
      </c>
      <c r="K240" t="n">
        <v>0</v>
      </c>
      <c r="L240" t="n">
        <v>0.888</v>
      </c>
      <c r="M240" t="n">
        <v>0.112</v>
      </c>
    </row>
    <row r="241" spans="1:13">
      <c r="A241" s="1">
        <f>HYPERLINK("http://www.twitter.com/NathanBLawrence/status/994769078828109826", "994769078828109826")</f>
        <v/>
      </c>
      <c r="B241" s="2" t="n">
        <v>43231.11115740741</v>
      </c>
      <c r="C241" t="n">
        <v>1</v>
      </c>
      <c r="D241" t="n">
        <v>0</v>
      </c>
      <c r="E241" t="s">
        <v>252</v>
      </c>
      <c r="F241" t="s"/>
      <c r="G241" t="s"/>
      <c r="H241" t="s"/>
      <c r="I241" t="s"/>
      <c r="J241" t="n">
        <v>-0.2732</v>
      </c>
      <c r="K241" t="n">
        <v>0.077</v>
      </c>
      <c r="L241" t="n">
        <v>0.923</v>
      </c>
      <c r="M241" t="n">
        <v>0</v>
      </c>
    </row>
    <row r="242" spans="1:13">
      <c r="A242" s="1">
        <f>HYPERLINK("http://www.twitter.com/NathanBLawrence/status/994768063353577477", "994768063353577477")</f>
        <v/>
      </c>
      <c r="B242" s="2" t="n">
        <v>43231.10835648148</v>
      </c>
      <c r="C242" t="n">
        <v>0</v>
      </c>
      <c r="D242" t="n">
        <v>0</v>
      </c>
      <c r="E242" t="s">
        <v>253</v>
      </c>
      <c r="F242" t="s"/>
      <c r="G242" t="s"/>
      <c r="H242" t="s"/>
      <c r="I242" t="s"/>
      <c r="J242" t="n">
        <v>0.4404</v>
      </c>
      <c r="K242" t="n">
        <v>0</v>
      </c>
      <c r="L242" t="n">
        <v>0.775</v>
      </c>
      <c r="M242" t="n">
        <v>0.225</v>
      </c>
    </row>
    <row r="243" spans="1:13">
      <c r="A243" s="1">
        <f>HYPERLINK("http://www.twitter.com/NathanBLawrence/status/994766565185814528", "994766565185814528")</f>
        <v/>
      </c>
      <c r="B243" s="2" t="n">
        <v>43231.10422453703</v>
      </c>
      <c r="C243" t="n">
        <v>0</v>
      </c>
      <c r="D243" t="n">
        <v>21</v>
      </c>
      <c r="E243" t="s">
        <v>254</v>
      </c>
      <c r="F243" t="s"/>
      <c r="G243" t="s"/>
      <c r="H243" t="s"/>
      <c r="I243" t="s"/>
      <c r="J243" t="n">
        <v>0</v>
      </c>
      <c r="K243" t="n">
        <v>0</v>
      </c>
      <c r="L243" t="n">
        <v>1</v>
      </c>
      <c r="M243" t="n">
        <v>0</v>
      </c>
    </row>
    <row r="244" spans="1:13">
      <c r="A244" s="1">
        <f>HYPERLINK("http://www.twitter.com/NathanBLawrence/status/994762928422293504", "994762928422293504")</f>
        <v/>
      </c>
      <c r="B244" s="2" t="n">
        <v>43231.09418981482</v>
      </c>
      <c r="C244" t="n">
        <v>0</v>
      </c>
      <c r="D244" t="n">
        <v>0</v>
      </c>
      <c r="E244" t="s">
        <v>255</v>
      </c>
      <c r="F244" t="s"/>
      <c r="G244" t="s"/>
      <c r="H244" t="s"/>
      <c r="I244" t="s"/>
      <c r="J244" t="n">
        <v>0</v>
      </c>
      <c r="K244" t="n">
        <v>0</v>
      </c>
      <c r="L244" t="n">
        <v>1</v>
      </c>
      <c r="M244" t="n">
        <v>0</v>
      </c>
    </row>
    <row r="245" spans="1:13">
      <c r="A245" s="1">
        <f>HYPERLINK("http://www.twitter.com/NathanBLawrence/status/994722187771858944", "994722187771858944")</f>
        <v/>
      </c>
      <c r="B245" s="2" t="n">
        <v>43230.98177083334</v>
      </c>
      <c r="C245" t="n">
        <v>0</v>
      </c>
      <c r="D245" t="n">
        <v>0</v>
      </c>
      <c r="E245" t="s">
        <v>256</v>
      </c>
      <c r="F245" t="s"/>
      <c r="G245" t="s"/>
      <c r="H245" t="s"/>
      <c r="I245" t="s"/>
      <c r="J245" t="n">
        <v>0</v>
      </c>
      <c r="K245" t="n">
        <v>0</v>
      </c>
      <c r="L245" t="n">
        <v>1</v>
      </c>
      <c r="M245" t="n">
        <v>0</v>
      </c>
    </row>
    <row r="246" spans="1:13">
      <c r="A246" s="1">
        <f>HYPERLINK("http://www.twitter.com/NathanBLawrence/status/994718829468114944", "994718829468114944")</f>
        <v/>
      </c>
      <c r="B246" s="2" t="n">
        <v>43230.9725</v>
      </c>
      <c r="C246" t="n">
        <v>0</v>
      </c>
      <c r="D246" t="n">
        <v>0</v>
      </c>
      <c r="E246" t="s">
        <v>257</v>
      </c>
      <c r="F246" t="s"/>
      <c r="G246" t="s"/>
      <c r="H246" t="s"/>
      <c r="I246" t="s"/>
      <c r="J246" t="n">
        <v>0.3612</v>
      </c>
      <c r="K246" t="n">
        <v>0</v>
      </c>
      <c r="L246" t="n">
        <v>0.848</v>
      </c>
      <c r="M246" t="n">
        <v>0.152</v>
      </c>
    </row>
    <row r="247" spans="1:13">
      <c r="A247" s="1">
        <f>HYPERLINK("http://www.twitter.com/NathanBLawrence/status/994670669349707777", "994670669349707777")</f>
        <v/>
      </c>
      <c r="B247" s="2" t="n">
        <v>43230.83960648148</v>
      </c>
      <c r="C247" t="n">
        <v>0</v>
      </c>
      <c r="D247" t="n">
        <v>380</v>
      </c>
      <c r="E247" t="s">
        <v>258</v>
      </c>
      <c r="F247" t="s"/>
      <c r="G247" t="s"/>
      <c r="H247" t="s"/>
      <c r="I247" t="s"/>
      <c r="J247" t="n">
        <v>0.6249</v>
      </c>
      <c r="K247" t="n">
        <v>0.14</v>
      </c>
      <c r="L247" t="n">
        <v>0.538</v>
      </c>
      <c r="M247" t="n">
        <v>0.323</v>
      </c>
    </row>
    <row r="248" spans="1:13">
      <c r="A248" s="1">
        <f>HYPERLINK("http://www.twitter.com/NathanBLawrence/status/994670450256105472", "994670450256105472")</f>
        <v/>
      </c>
      <c r="B248" s="2" t="n">
        <v>43230.83900462963</v>
      </c>
      <c r="C248" t="n">
        <v>0</v>
      </c>
      <c r="D248" t="n">
        <v>2</v>
      </c>
      <c r="E248" t="s">
        <v>259</v>
      </c>
      <c r="F248" t="s"/>
      <c r="G248" t="s"/>
      <c r="H248" t="s"/>
      <c r="I248" t="s"/>
      <c r="J248" t="n">
        <v>0</v>
      </c>
      <c r="K248" t="n">
        <v>0</v>
      </c>
      <c r="L248" t="n">
        <v>1</v>
      </c>
      <c r="M248" t="n">
        <v>0</v>
      </c>
    </row>
    <row r="249" spans="1:13">
      <c r="A249" s="1">
        <f>HYPERLINK("http://www.twitter.com/NathanBLawrence/status/994651127760211970", "994651127760211970")</f>
        <v/>
      </c>
      <c r="B249" s="2" t="n">
        <v>43230.78568287037</v>
      </c>
      <c r="C249" t="n">
        <v>1</v>
      </c>
      <c r="D249" t="n">
        <v>0</v>
      </c>
      <c r="E249" t="s">
        <v>260</v>
      </c>
      <c r="F249" t="s"/>
      <c r="G249" t="s"/>
      <c r="H249" t="s"/>
      <c r="I249" t="s"/>
      <c r="J249" t="n">
        <v>0.6677999999999999</v>
      </c>
      <c r="K249" t="n">
        <v>0.14</v>
      </c>
      <c r="L249" t="n">
        <v>0.427</v>
      </c>
      <c r="M249" t="n">
        <v>0.433</v>
      </c>
    </row>
    <row r="250" spans="1:13">
      <c r="A250" s="1">
        <f>HYPERLINK("http://www.twitter.com/NathanBLawrence/status/994650925489950720", "994650925489950720")</f>
        <v/>
      </c>
      <c r="B250" s="2" t="n">
        <v>43230.78512731481</v>
      </c>
      <c r="C250" t="n">
        <v>0</v>
      </c>
      <c r="D250" t="n">
        <v>0</v>
      </c>
      <c r="E250" t="s">
        <v>261</v>
      </c>
      <c r="F250" t="s"/>
      <c r="G250" t="s"/>
      <c r="H250" t="s"/>
      <c r="I250" t="s"/>
      <c r="J250" t="n">
        <v>0.2732</v>
      </c>
      <c r="K250" t="n">
        <v>0.115</v>
      </c>
      <c r="L250" t="n">
        <v>0.71</v>
      </c>
      <c r="M250" t="n">
        <v>0.175</v>
      </c>
    </row>
    <row r="251" spans="1:13">
      <c r="A251" s="1">
        <f>HYPERLINK("http://www.twitter.com/NathanBLawrence/status/994645425763348480", "994645425763348480")</f>
        <v/>
      </c>
      <c r="B251" s="2" t="n">
        <v>43230.76994212963</v>
      </c>
      <c r="C251" t="n">
        <v>5</v>
      </c>
      <c r="D251" t="n">
        <v>0</v>
      </c>
      <c r="E251" t="s">
        <v>262</v>
      </c>
      <c r="F251" t="s"/>
      <c r="G251" t="s"/>
      <c r="H251" t="s"/>
      <c r="I251" t="s"/>
      <c r="J251" t="n">
        <v>0</v>
      </c>
      <c r="K251" t="n">
        <v>0</v>
      </c>
      <c r="L251" t="n">
        <v>1</v>
      </c>
      <c r="M251" t="n">
        <v>0</v>
      </c>
    </row>
    <row r="252" spans="1:13">
      <c r="A252" s="1">
        <f>HYPERLINK("http://www.twitter.com/NathanBLawrence/status/994642003215384576", "994642003215384576")</f>
        <v/>
      </c>
      <c r="B252" s="2" t="n">
        <v>43230.76049768519</v>
      </c>
      <c r="C252" t="n">
        <v>0</v>
      </c>
      <c r="D252" t="n">
        <v>0</v>
      </c>
      <c r="E252" t="s">
        <v>263</v>
      </c>
      <c r="F252" t="s"/>
      <c r="G252" t="s"/>
      <c r="H252" t="s"/>
      <c r="I252" t="s"/>
      <c r="J252" t="n">
        <v>0</v>
      </c>
      <c r="K252" t="n">
        <v>0</v>
      </c>
      <c r="L252" t="n">
        <v>1</v>
      </c>
      <c r="M252" t="n">
        <v>0</v>
      </c>
    </row>
    <row r="253" spans="1:13">
      <c r="A253" s="1">
        <f>HYPERLINK("http://www.twitter.com/NathanBLawrence/status/994640957168652288", "994640957168652288")</f>
        <v/>
      </c>
      <c r="B253" s="2" t="n">
        <v>43230.75761574074</v>
      </c>
      <c r="C253" t="n">
        <v>0</v>
      </c>
      <c r="D253" t="n">
        <v>0</v>
      </c>
      <c r="E253" t="s">
        <v>264</v>
      </c>
      <c r="F253" t="s"/>
      <c r="G253" t="s"/>
      <c r="H253" t="s"/>
      <c r="I253" t="s"/>
      <c r="J253" t="n">
        <v>0</v>
      </c>
      <c r="K253" t="n">
        <v>0</v>
      </c>
      <c r="L253" t="n">
        <v>1</v>
      </c>
      <c r="M253" t="n">
        <v>0</v>
      </c>
    </row>
    <row r="254" spans="1:13">
      <c r="A254" s="1">
        <f>HYPERLINK("http://www.twitter.com/NathanBLawrence/status/994639104452243456", "994639104452243456")</f>
        <v/>
      </c>
      <c r="B254" s="2" t="n">
        <v>43230.7525</v>
      </c>
      <c r="C254" t="n">
        <v>0</v>
      </c>
      <c r="D254" t="n">
        <v>0</v>
      </c>
      <c r="E254" t="s">
        <v>265</v>
      </c>
      <c r="F254" t="s"/>
      <c r="G254" t="s"/>
      <c r="H254" t="s"/>
      <c r="I254" t="s"/>
      <c r="J254" t="n">
        <v>0.7579</v>
      </c>
      <c r="K254" t="n">
        <v>0</v>
      </c>
      <c r="L254" t="n">
        <v>0.286</v>
      </c>
      <c r="M254" t="n">
        <v>0.714</v>
      </c>
    </row>
    <row r="255" spans="1:13">
      <c r="A255" s="1">
        <f>HYPERLINK("http://www.twitter.com/NathanBLawrence/status/994638595540553728", "994638595540553728")</f>
        <v/>
      </c>
      <c r="B255" s="2" t="n">
        <v>43230.75109953704</v>
      </c>
      <c r="C255" t="n">
        <v>0</v>
      </c>
      <c r="D255" t="n">
        <v>0</v>
      </c>
      <c r="E255" t="s">
        <v>266</v>
      </c>
      <c r="F255" t="s"/>
      <c r="G255" t="s"/>
      <c r="H255" t="s"/>
      <c r="I255" t="s"/>
      <c r="J255" t="n">
        <v>0</v>
      </c>
      <c r="K255" t="n">
        <v>0</v>
      </c>
      <c r="L255" t="n">
        <v>1</v>
      </c>
      <c r="M255" t="n">
        <v>0</v>
      </c>
    </row>
    <row r="256" spans="1:13">
      <c r="A256" s="1">
        <f>HYPERLINK("http://www.twitter.com/NathanBLawrence/status/994638413419761664", "994638413419761664")</f>
        <v/>
      </c>
      <c r="B256" s="2" t="n">
        <v>43230.75059027778</v>
      </c>
      <c r="C256" t="n">
        <v>0</v>
      </c>
      <c r="D256" t="n">
        <v>10</v>
      </c>
      <c r="E256" t="s">
        <v>267</v>
      </c>
      <c r="F256" t="s"/>
      <c r="G256" t="s"/>
      <c r="H256" t="s"/>
      <c r="I256" t="s"/>
      <c r="J256" t="n">
        <v>-0.6908</v>
      </c>
      <c r="K256" t="n">
        <v>0.183</v>
      </c>
      <c r="L256" t="n">
        <v>0.8169999999999999</v>
      </c>
      <c r="M256" t="n">
        <v>0</v>
      </c>
    </row>
    <row r="257" spans="1:13">
      <c r="A257" s="1">
        <f>HYPERLINK("http://www.twitter.com/NathanBLawrence/status/994574972990443520", "994574972990443520")</f>
        <v/>
      </c>
      <c r="B257" s="2" t="n">
        <v>43230.57553240741</v>
      </c>
      <c r="C257" t="n">
        <v>3</v>
      </c>
      <c r="D257" t="n">
        <v>2</v>
      </c>
      <c r="E257" t="s">
        <v>268</v>
      </c>
      <c r="F257" t="s"/>
      <c r="G257" t="s"/>
      <c r="H257" t="s"/>
      <c r="I257" t="s"/>
      <c r="J257" t="n">
        <v>-0.7692</v>
      </c>
      <c r="K257" t="n">
        <v>0.308</v>
      </c>
      <c r="L257" t="n">
        <v>0.6919999999999999</v>
      </c>
      <c r="M257" t="n">
        <v>0</v>
      </c>
    </row>
    <row r="258" spans="1:13">
      <c r="A258" s="1">
        <f>HYPERLINK("http://www.twitter.com/NathanBLawrence/status/994361655625691136", "994361655625691136")</f>
        <v/>
      </c>
      <c r="B258" s="2" t="n">
        <v>43229.98688657407</v>
      </c>
      <c r="C258" t="n">
        <v>1</v>
      </c>
      <c r="D258" t="n">
        <v>0</v>
      </c>
      <c r="E258" t="s">
        <v>269</v>
      </c>
      <c r="F258" t="s"/>
      <c r="G258" t="s"/>
      <c r="H258" t="s"/>
      <c r="I258" t="s"/>
      <c r="J258" t="n">
        <v>0</v>
      </c>
      <c r="K258" t="n">
        <v>0</v>
      </c>
      <c r="L258" t="n">
        <v>1</v>
      </c>
      <c r="M258" t="n">
        <v>0</v>
      </c>
    </row>
    <row r="259" spans="1:13">
      <c r="A259" s="1">
        <f>HYPERLINK("http://www.twitter.com/NathanBLawrence/status/994311155039526914", "994311155039526914")</f>
        <v/>
      </c>
      <c r="B259" s="2" t="n">
        <v>43229.84753472222</v>
      </c>
      <c r="C259" t="n">
        <v>1</v>
      </c>
      <c r="D259" t="n">
        <v>0</v>
      </c>
      <c r="E259" t="s">
        <v>270</v>
      </c>
      <c r="F259" t="s"/>
      <c r="G259" t="s"/>
      <c r="H259" t="s"/>
      <c r="I259" t="s"/>
      <c r="J259" t="n">
        <v>-0.5951</v>
      </c>
      <c r="K259" t="n">
        <v>0.301</v>
      </c>
      <c r="L259" t="n">
        <v>0.699</v>
      </c>
      <c r="M259" t="n">
        <v>0</v>
      </c>
    </row>
    <row r="260" spans="1:13">
      <c r="A260" s="1">
        <f>HYPERLINK("http://www.twitter.com/NathanBLawrence/status/994045442223759362", "994045442223759362")</f>
        <v/>
      </c>
      <c r="B260" s="2" t="n">
        <v>43229.11430555556</v>
      </c>
      <c r="C260" t="n">
        <v>0</v>
      </c>
      <c r="D260" t="n">
        <v>0</v>
      </c>
      <c r="E260" t="s">
        <v>271</v>
      </c>
      <c r="F260" t="s"/>
      <c r="G260" t="s"/>
      <c r="H260" t="s"/>
      <c r="I260" t="s"/>
      <c r="J260" t="n">
        <v>0.5719</v>
      </c>
      <c r="K260" t="n">
        <v>0</v>
      </c>
      <c r="L260" t="n">
        <v>0.213</v>
      </c>
      <c r="M260" t="n">
        <v>0.787</v>
      </c>
    </row>
    <row r="261" spans="1:13">
      <c r="A261" s="1">
        <f>HYPERLINK("http://www.twitter.com/NathanBLawrence/status/994035286719057920", "994035286719057920")</f>
        <v/>
      </c>
      <c r="B261" s="2" t="n">
        <v>43229.08628472222</v>
      </c>
      <c r="C261" t="n">
        <v>1</v>
      </c>
      <c r="D261" t="n">
        <v>0</v>
      </c>
      <c r="E261" t="s">
        <v>272</v>
      </c>
      <c r="F261" t="s"/>
      <c r="G261" t="s"/>
      <c r="H261" t="s"/>
      <c r="I261" t="s"/>
      <c r="J261" t="n">
        <v>0.8852</v>
      </c>
      <c r="K261" t="n">
        <v>0</v>
      </c>
      <c r="L261" t="n">
        <v>0.461</v>
      </c>
      <c r="M261" t="n">
        <v>0.539</v>
      </c>
    </row>
    <row r="262" spans="1:13">
      <c r="A262" s="1">
        <f>HYPERLINK("http://www.twitter.com/NathanBLawrence/status/994030993316241408", "994030993316241408")</f>
        <v/>
      </c>
      <c r="B262" s="2" t="n">
        <v>43229.07443287037</v>
      </c>
      <c r="C262" t="n">
        <v>0</v>
      </c>
      <c r="D262" t="n">
        <v>0</v>
      </c>
      <c r="E262" t="s">
        <v>273</v>
      </c>
      <c r="F262" t="s"/>
      <c r="G262" t="s"/>
      <c r="H262" t="s"/>
      <c r="I262" t="s"/>
      <c r="J262" t="n">
        <v>0</v>
      </c>
      <c r="K262" t="n">
        <v>0</v>
      </c>
      <c r="L262" t="n">
        <v>1</v>
      </c>
      <c r="M262" t="n">
        <v>0</v>
      </c>
    </row>
    <row r="263" spans="1:13">
      <c r="A263" s="1">
        <f>HYPERLINK("http://www.twitter.com/NathanBLawrence/status/994022000250249219", "994022000250249219")</f>
        <v/>
      </c>
      <c r="B263" s="2" t="n">
        <v>43229.04961805556</v>
      </c>
      <c r="C263" t="n">
        <v>0</v>
      </c>
      <c r="D263" t="n">
        <v>0</v>
      </c>
      <c r="E263" t="s">
        <v>274</v>
      </c>
      <c r="F263" t="s"/>
      <c r="G263" t="s"/>
      <c r="H263" t="s"/>
      <c r="I263" t="s"/>
      <c r="J263" t="n">
        <v>0.4329</v>
      </c>
      <c r="K263" t="n">
        <v>0</v>
      </c>
      <c r="L263" t="n">
        <v>0.512</v>
      </c>
      <c r="M263" t="n">
        <v>0.488</v>
      </c>
    </row>
    <row r="264" spans="1:13">
      <c r="A264" s="1">
        <f>HYPERLINK("http://www.twitter.com/NathanBLawrence/status/993985834377457664", "993985834377457664")</f>
        <v/>
      </c>
      <c r="B264" s="2" t="n">
        <v>43228.94981481481</v>
      </c>
      <c r="C264" t="n">
        <v>6</v>
      </c>
      <c r="D264" t="n">
        <v>0</v>
      </c>
      <c r="E264" t="s">
        <v>275</v>
      </c>
      <c r="F264" t="s"/>
      <c r="G264" t="s"/>
      <c r="H264" t="s"/>
      <c r="I264" t="s"/>
      <c r="J264" t="n">
        <v>0</v>
      </c>
      <c r="K264" t="n">
        <v>0</v>
      </c>
      <c r="L264" t="n">
        <v>1</v>
      </c>
      <c r="M264" t="n">
        <v>0</v>
      </c>
    </row>
    <row r="265" spans="1:13">
      <c r="A265" s="1">
        <f>HYPERLINK("http://www.twitter.com/NathanBLawrence/status/993951925950394368", "993951925950394368")</f>
        <v/>
      </c>
      <c r="B265" s="2" t="n">
        <v>43228.85625</v>
      </c>
      <c r="C265" t="n">
        <v>0</v>
      </c>
      <c r="D265" t="n">
        <v>0</v>
      </c>
      <c r="E265" t="s">
        <v>276</v>
      </c>
      <c r="F265" t="s"/>
      <c r="G265" t="s"/>
      <c r="H265" t="s"/>
      <c r="I265" t="s"/>
      <c r="J265" t="n">
        <v>0.4404</v>
      </c>
      <c r="K265" t="n">
        <v>0</v>
      </c>
      <c r="L265" t="n">
        <v>0.674</v>
      </c>
      <c r="M265" t="n">
        <v>0.326</v>
      </c>
    </row>
    <row r="266" spans="1:13">
      <c r="A266" s="1">
        <f>HYPERLINK("http://www.twitter.com/NathanBLawrence/status/993944921227907072", "993944921227907072")</f>
        <v/>
      </c>
      <c r="B266" s="2" t="n">
        <v>43228.83692129629</v>
      </c>
      <c r="C266" t="n">
        <v>1</v>
      </c>
      <c r="D266" t="n">
        <v>0</v>
      </c>
      <c r="E266" t="s">
        <v>277</v>
      </c>
      <c r="F266" t="s"/>
      <c r="G266" t="s"/>
      <c r="H266" t="s"/>
      <c r="I266" t="s"/>
      <c r="J266" t="n">
        <v>0</v>
      </c>
      <c r="K266" t="n">
        <v>0</v>
      </c>
      <c r="L266" t="n">
        <v>1</v>
      </c>
      <c r="M266" t="n">
        <v>0</v>
      </c>
    </row>
    <row r="267" spans="1:13">
      <c r="A267" s="1">
        <f>HYPERLINK("http://www.twitter.com/NathanBLawrence/status/993925900579364866", "993925900579364866")</f>
        <v/>
      </c>
      <c r="B267" s="2" t="n">
        <v>43228.78443287037</v>
      </c>
      <c r="C267" t="n">
        <v>4</v>
      </c>
      <c r="D267" t="n">
        <v>1</v>
      </c>
      <c r="E267" t="s">
        <v>278</v>
      </c>
      <c r="F267" t="s"/>
      <c r="G267" t="s"/>
      <c r="H267" t="s"/>
      <c r="I267" t="s"/>
      <c r="J267" t="n">
        <v>0.7067</v>
      </c>
      <c r="K267" t="n">
        <v>0</v>
      </c>
      <c r="L267" t="n">
        <v>0.507</v>
      </c>
      <c r="M267" t="n">
        <v>0.493</v>
      </c>
    </row>
    <row r="268" spans="1:13">
      <c r="A268" s="1">
        <f>HYPERLINK("http://www.twitter.com/NathanBLawrence/status/993919304629477376", "993919304629477376")</f>
        <v/>
      </c>
      <c r="B268" s="2" t="n">
        <v>43228.76623842592</v>
      </c>
      <c r="C268" t="n">
        <v>0</v>
      </c>
      <c r="D268" t="n">
        <v>0</v>
      </c>
      <c r="E268" t="s">
        <v>279</v>
      </c>
      <c r="F268" t="s"/>
      <c r="G268" t="s"/>
      <c r="H268" t="s"/>
      <c r="I268" t="s"/>
      <c r="J268" t="n">
        <v>0</v>
      </c>
      <c r="K268" t="n">
        <v>0</v>
      </c>
      <c r="L268" t="n">
        <v>1</v>
      </c>
      <c r="M268" t="n">
        <v>0</v>
      </c>
    </row>
    <row r="269" spans="1:13">
      <c r="A269" s="1">
        <f>HYPERLINK("http://www.twitter.com/NathanBLawrence/status/993834769212497920", "993834769212497920")</f>
        <v/>
      </c>
      <c r="B269" s="2" t="n">
        <v>43228.53296296296</v>
      </c>
      <c r="C269" t="n">
        <v>0</v>
      </c>
      <c r="D269" t="n">
        <v>12</v>
      </c>
      <c r="E269" t="s">
        <v>280</v>
      </c>
      <c r="F269" t="s"/>
      <c r="G269" t="s"/>
      <c r="H269" t="s"/>
      <c r="I269" t="s"/>
      <c r="J269" t="n">
        <v>0</v>
      </c>
      <c r="K269" t="n">
        <v>0</v>
      </c>
      <c r="L269" t="n">
        <v>1</v>
      </c>
      <c r="M269" t="n">
        <v>0</v>
      </c>
    </row>
    <row r="270" spans="1:13">
      <c r="A270" s="1">
        <f>HYPERLINK("http://www.twitter.com/NathanBLawrence/status/993699207256133633", "993699207256133633")</f>
        <v/>
      </c>
      <c r="B270" s="2" t="n">
        <v>43228.15887731482</v>
      </c>
      <c r="C270" t="n">
        <v>2</v>
      </c>
      <c r="D270" t="n">
        <v>0</v>
      </c>
      <c r="E270" t="s">
        <v>281</v>
      </c>
      <c r="F270" t="s"/>
      <c r="G270" t="s"/>
      <c r="H270" t="s"/>
      <c r="I270" t="s"/>
      <c r="J270" t="n">
        <v>0</v>
      </c>
      <c r="K270" t="n">
        <v>0</v>
      </c>
      <c r="L270" t="n">
        <v>1</v>
      </c>
      <c r="M270" t="n">
        <v>0</v>
      </c>
    </row>
    <row r="271" spans="1:13">
      <c r="A271" s="1">
        <f>HYPERLINK("http://www.twitter.com/NathanBLawrence/status/993697465521065984", "993697465521065984")</f>
        <v/>
      </c>
      <c r="B271" s="2" t="n">
        <v>43228.15407407407</v>
      </c>
      <c r="C271" t="n">
        <v>1</v>
      </c>
      <c r="D271" t="n">
        <v>0</v>
      </c>
      <c r="E271" t="s">
        <v>282</v>
      </c>
      <c r="F271" t="s"/>
      <c r="G271" t="s"/>
      <c r="H271" t="s"/>
      <c r="I271" t="s"/>
      <c r="J271" t="n">
        <v>-0.1027</v>
      </c>
      <c r="K271" t="n">
        <v>0.08400000000000001</v>
      </c>
      <c r="L271" t="n">
        <v>0.84</v>
      </c>
      <c r="M271" t="n">
        <v>0.076</v>
      </c>
    </row>
    <row r="272" spans="1:13">
      <c r="A272" s="1">
        <f>HYPERLINK("http://www.twitter.com/NathanBLawrence/status/993696737733890049", "993696737733890049")</f>
        <v/>
      </c>
      <c r="B272" s="2" t="n">
        <v>43228.15206018519</v>
      </c>
      <c r="C272" t="n">
        <v>0</v>
      </c>
      <c r="D272" t="n">
        <v>0</v>
      </c>
      <c r="E272" t="s">
        <v>283</v>
      </c>
      <c r="F272" t="s"/>
      <c r="G272" t="s"/>
      <c r="H272" t="s"/>
      <c r="I272" t="s"/>
      <c r="J272" t="n">
        <v>-0.707</v>
      </c>
      <c r="K272" t="n">
        <v>0.274</v>
      </c>
      <c r="L272" t="n">
        <v>0.582</v>
      </c>
      <c r="M272" t="n">
        <v>0.145</v>
      </c>
    </row>
    <row r="273" spans="1:13">
      <c r="A273" s="1">
        <f>HYPERLINK("http://www.twitter.com/NathanBLawrence/status/993694743061258241", "993694743061258241")</f>
        <v/>
      </c>
      <c r="B273" s="2" t="n">
        <v>43228.1465625</v>
      </c>
      <c r="C273" t="n">
        <v>0</v>
      </c>
      <c r="D273" t="n">
        <v>0</v>
      </c>
      <c r="E273" t="s">
        <v>284</v>
      </c>
      <c r="F273" t="s"/>
      <c r="G273" t="s"/>
      <c r="H273" t="s"/>
      <c r="I273" t="s"/>
      <c r="J273" t="n">
        <v>0</v>
      </c>
      <c r="K273" t="n">
        <v>0</v>
      </c>
      <c r="L273" t="n">
        <v>1</v>
      </c>
      <c r="M273" t="n">
        <v>0</v>
      </c>
    </row>
    <row r="274" spans="1:13">
      <c r="A274" s="1">
        <f>HYPERLINK("http://www.twitter.com/NathanBLawrence/status/993694477176000513", "993694477176000513")</f>
        <v/>
      </c>
      <c r="B274" s="2" t="n">
        <v>43228.14582175926</v>
      </c>
      <c r="C274" t="n">
        <v>0</v>
      </c>
      <c r="D274" t="n">
        <v>2</v>
      </c>
      <c r="E274" t="s">
        <v>285</v>
      </c>
      <c r="F274" t="s"/>
      <c r="G274" t="s"/>
      <c r="H274" t="s"/>
      <c r="I274" t="s"/>
      <c r="J274" t="n">
        <v>-0.4404</v>
      </c>
      <c r="K274" t="n">
        <v>0.146</v>
      </c>
      <c r="L274" t="n">
        <v>0.854</v>
      </c>
      <c r="M274" t="n">
        <v>0</v>
      </c>
    </row>
    <row r="275" spans="1:13">
      <c r="A275" s="1">
        <f>HYPERLINK("http://www.twitter.com/NathanBLawrence/status/993694288482619392", "993694288482619392")</f>
        <v/>
      </c>
      <c r="B275" s="2" t="n">
        <v>43228.14530092593</v>
      </c>
      <c r="C275" t="n">
        <v>0</v>
      </c>
      <c r="D275" t="n">
        <v>15</v>
      </c>
      <c r="E275" t="s">
        <v>286</v>
      </c>
      <c r="F275">
        <f>HYPERLINK("http://pbs.twimg.com/media/DcpOpEaU0AA7Y94.jpg", "http://pbs.twimg.com/media/DcpOpEaU0AA7Y94.jpg")</f>
        <v/>
      </c>
      <c r="G275" t="s"/>
      <c r="H275" t="s"/>
      <c r="I275" t="s"/>
      <c r="J275" t="n">
        <v>-0.6369</v>
      </c>
      <c r="K275" t="n">
        <v>0.206</v>
      </c>
      <c r="L275" t="n">
        <v>0.794</v>
      </c>
      <c r="M275" t="n">
        <v>0</v>
      </c>
    </row>
    <row r="276" spans="1:13">
      <c r="A276" s="1">
        <f>HYPERLINK("http://www.twitter.com/NathanBLawrence/status/993693615753957376", "993693615753957376")</f>
        <v/>
      </c>
      <c r="B276" s="2" t="n">
        <v>43228.14344907407</v>
      </c>
      <c r="C276" t="n">
        <v>1</v>
      </c>
      <c r="D276" t="n">
        <v>0</v>
      </c>
      <c r="E276" t="s">
        <v>287</v>
      </c>
      <c r="F276" t="s"/>
      <c r="G276" t="s"/>
      <c r="H276" t="s"/>
      <c r="I276" t="s"/>
      <c r="J276" t="n">
        <v>0</v>
      </c>
      <c r="K276" t="n">
        <v>0</v>
      </c>
      <c r="L276" t="n">
        <v>1</v>
      </c>
      <c r="M276" t="n">
        <v>0</v>
      </c>
    </row>
    <row r="277" spans="1:13">
      <c r="A277" s="1">
        <f>HYPERLINK("http://www.twitter.com/NathanBLawrence/status/993693388770828289", "993693388770828289")</f>
        <v/>
      </c>
      <c r="B277" s="2" t="n">
        <v>43228.14282407407</v>
      </c>
      <c r="C277" t="n">
        <v>0</v>
      </c>
      <c r="D277" t="n">
        <v>0</v>
      </c>
      <c r="E277" t="s">
        <v>288</v>
      </c>
      <c r="F277" t="s"/>
      <c r="G277" t="s"/>
      <c r="H277" t="s"/>
      <c r="I277" t="s"/>
      <c r="J277" t="n">
        <v>0.5106000000000001</v>
      </c>
      <c r="K277" t="n">
        <v>0</v>
      </c>
      <c r="L277" t="n">
        <v>0.845</v>
      </c>
      <c r="M277" t="n">
        <v>0.155</v>
      </c>
    </row>
    <row r="278" spans="1:13">
      <c r="A278" s="1">
        <f>HYPERLINK("http://www.twitter.com/NathanBLawrence/status/993692913887477760", "993692913887477760")</f>
        <v/>
      </c>
      <c r="B278" s="2" t="n">
        <v>43228.1415162037</v>
      </c>
      <c r="C278" t="n">
        <v>1</v>
      </c>
      <c r="D278" t="n">
        <v>0</v>
      </c>
      <c r="E278" t="s">
        <v>289</v>
      </c>
      <c r="F278" t="s"/>
      <c r="G278" t="s"/>
      <c r="H278" t="s"/>
      <c r="I278" t="s"/>
      <c r="J278" t="n">
        <v>-0.3182</v>
      </c>
      <c r="K278" t="n">
        <v>0.141</v>
      </c>
      <c r="L278" t="n">
        <v>0.859</v>
      </c>
      <c r="M278" t="n">
        <v>0</v>
      </c>
    </row>
    <row r="279" spans="1:13">
      <c r="A279" s="1">
        <f>HYPERLINK("http://www.twitter.com/NathanBLawrence/status/993692463813615622", "993692463813615622")</f>
        <v/>
      </c>
      <c r="B279" s="2" t="n">
        <v>43228.14026620371</v>
      </c>
      <c r="C279" t="n">
        <v>0</v>
      </c>
      <c r="D279" t="n">
        <v>0</v>
      </c>
      <c r="E279" t="s">
        <v>290</v>
      </c>
      <c r="F279" t="s"/>
      <c r="G279" t="s"/>
      <c r="H279" t="s"/>
      <c r="I279" t="s"/>
      <c r="J279" t="n">
        <v>0.6369</v>
      </c>
      <c r="K279" t="n">
        <v>0</v>
      </c>
      <c r="L279" t="n">
        <v>0.588</v>
      </c>
      <c r="M279" t="n">
        <v>0.412</v>
      </c>
    </row>
    <row r="280" spans="1:13">
      <c r="A280" s="1">
        <f>HYPERLINK("http://www.twitter.com/NathanBLawrence/status/993691893765754880", "993691893765754880")</f>
        <v/>
      </c>
      <c r="B280" s="2" t="n">
        <v>43228.13870370371</v>
      </c>
      <c r="C280" t="n">
        <v>0</v>
      </c>
      <c r="D280" t="n">
        <v>8</v>
      </c>
      <c r="E280" t="s">
        <v>291</v>
      </c>
      <c r="F280" t="s"/>
      <c r="G280" t="s"/>
      <c r="H280" t="s"/>
      <c r="I280" t="s"/>
      <c r="J280" t="n">
        <v>0</v>
      </c>
      <c r="K280" t="n">
        <v>0</v>
      </c>
      <c r="L280" t="n">
        <v>1</v>
      </c>
      <c r="M280" t="n">
        <v>0</v>
      </c>
    </row>
    <row r="281" spans="1:13">
      <c r="A281" s="1">
        <f>HYPERLINK("http://www.twitter.com/NathanBLawrence/status/993691651926319105", "993691651926319105")</f>
        <v/>
      </c>
      <c r="B281" s="2" t="n">
        <v>43228.13803240741</v>
      </c>
      <c r="C281" t="n">
        <v>1</v>
      </c>
      <c r="D281" t="n">
        <v>0</v>
      </c>
      <c r="E281" t="s">
        <v>292</v>
      </c>
      <c r="F281" t="s"/>
      <c r="G281" t="s"/>
      <c r="H281" t="s"/>
      <c r="I281" t="s"/>
      <c r="J281" t="n">
        <v>0</v>
      </c>
      <c r="K281" t="n">
        <v>0</v>
      </c>
      <c r="L281" t="n">
        <v>1</v>
      </c>
      <c r="M281" t="n">
        <v>0</v>
      </c>
    </row>
    <row r="282" spans="1:13">
      <c r="A282" s="1">
        <f>HYPERLINK("http://www.twitter.com/NathanBLawrence/status/993688565451194368", "993688565451194368")</f>
        <v/>
      </c>
      <c r="B282" s="2" t="n">
        <v>43228.12951388889</v>
      </c>
      <c r="C282" t="n">
        <v>1</v>
      </c>
      <c r="D282" t="n">
        <v>0</v>
      </c>
      <c r="E282" t="s">
        <v>293</v>
      </c>
      <c r="F282" t="s"/>
      <c r="G282" t="s"/>
      <c r="H282" t="s"/>
      <c r="I282" t="s"/>
      <c r="J282" t="n">
        <v>0.3612</v>
      </c>
      <c r="K282" t="n">
        <v>0</v>
      </c>
      <c r="L282" t="n">
        <v>0.667</v>
      </c>
      <c r="M282" t="n">
        <v>0.333</v>
      </c>
    </row>
    <row r="283" spans="1:13">
      <c r="A283" s="1">
        <f>HYPERLINK("http://www.twitter.com/NathanBLawrence/status/993688307589681158", "993688307589681158")</f>
        <v/>
      </c>
      <c r="B283" s="2" t="n">
        <v>43228.12880787037</v>
      </c>
      <c r="C283" t="n">
        <v>0</v>
      </c>
      <c r="D283" t="n">
        <v>0</v>
      </c>
      <c r="E283" t="s">
        <v>294</v>
      </c>
      <c r="F283" t="s"/>
      <c r="G283" t="s"/>
      <c r="H283" t="s"/>
      <c r="I283" t="s"/>
      <c r="J283" t="n">
        <v>-0.4404</v>
      </c>
      <c r="K283" t="n">
        <v>0.165</v>
      </c>
      <c r="L283" t="n">
        <v>0.762</v>
      </c>
      <c r="M283" t="n">
        <v>0.073</v>
      </c>
    </row>
    <row r="284" spans="1:13">
      <c r="A284" s="1">
        <f>HYPERLINK("http://www.twitter.com/NathanBLawrence/status/993687499061985280", "993687499061985280")</f>
        <v/>
      </c>
      <c r="B284" s="2" t="n">
        <v>43228.12657407407</v>
      </c>
      <c r="C284" t="n">
        <v>0</v>
      </c>
      <c r="D284" t="n">
        <v>0</v>
      </c>
      <c r="E284" t="s">
        <v>295</v>
      </c>
      <c r="F284" t="s"/>
      <c r="G284" t="s"/>
      <c r="H284" t="s"/>
      <c r="I284" t="s"/>
      <c r="J284" t="n">
        <v>0</v>
      </c>
      <c r="K284" t="n">
        <v>0</v>
      </c>
      <c r="L284" t="n">
        <v>1</v>
      </c>
      <c r="M284" t="n">
        <v>0</v>
      </c>
    </row>
    <row r="285" spans="1:13">
      <c r="A285" s="1">
        <f>HYPERLINK("http://www.twitter.com/NathanBLawrence/status/993686555993804800", "993686555993804800")</f>
        <v/>
      </c>
      <c r="B285" s="2" t="n">
        <v>43228.12396990741</v>
      </c>
      <c r="C285" t="n">
        <v>0</v>
      </c>
      <c r="D285" t="n">
        <v>1</v>
      </c>
      <c r="E285" t="s">
        <v>296</v>
      </c>
      <c r="F285" t="s"/>
      <c r="G285" t="s"/>
      <c r="H285" t="s"/>
      <c r="I285" t="s"/>
      <c r="J285" t="n">
        <v>-0.4528</v>
      </c>
      <c r="K285" t="n">
        <v>0.232</v>
      </c>
      <c r="L285" t="n">
        <v>0.669</v>
      </c>
      <c r="M285" t="n">
        <v>0.1</v>
      </c>
    </row>
    <row r="286" spans="1:13">
      <c r="A286" s="1">
        <f>HYPERLINK("http://www.twitter.com/NathanBLawrence/status/993686238371762177", "993686238371762177")</f>
        <v/>
      </c>
      <c r="B286" s="2" t="n">
        <v>43228.12309027778</v>
      </c>
      <c r="C286" t="n">
        <v>2</v>
      </c>
      <c r="D286" t="n">
        <v>0</v>
      </c>
      <c r="E286" t="s">
        <v>297</v>
      </c>
      <c r="F286" t="s"/>
      <c r="G286" t="s"/>
      <c r="H286" t="s"/>
      <c r="I286" t="s"/>
      <c r="J286" t="n">
        <v>0.0258</v>
      </c>
      <c r="K286" t="n">
        <v>0.078</v>
      </c>
      <c r="L286" t="n">
        <v>0.841</v>
      </c>
      <c r="M286" t="n">
        <v>0.081</v>
      </c>
    </row>
    <row r="287" spans="1:13">
      <c r="A287" s="1">
        <f>HYPERLINK("http://www.twitter.com/NathanBLawrence/status/993685767728828416", "993685767728828416")</f>
        <v/>
      </c>
      <c r="B287" s="2" t="n">
        <v>43228.12179398148</v>
      </c>
      <c r="C287" t="n">
        <v>1</v>
      </c>
      <c r="D287" t="n">
        <v>0</v>
      </c>
      <c r="E287" t="s">
        <v>298</v>
      </c>
      <c r="F287" t="s"/>
      <c r="G287" t="s"/>
      <c r="H287" t="s"/>
      <c r="I287" t="s"/>
      <c r="J287" t="n">
        <v>0</v>
      </c>
      <c r="K287" t="n">
        <v>0</v>
      </c>
      <c r="L287" t="n">
        <v>1</v>
      </c>
      <c r="M287" t="n">
        <v>0</v>
      </c>
    </row>
    <row r="288" spans="1:13">
      <c r="A288" s="1">
        <f>HYPERLINK("http://www.twitter.com/NathanBLawrence/status/993685342640369664", "993685342640369664")</f>
        <v/>
      </c>
      <c r="B288" s="2" t="n">
        <v>43228.120625</v>
      </c>
      <c r="C288" t="n">
        <v>0</v>
      </c>
      <c r="D288" t="n">
        <v>0</v>
      </c>
      <c r="E288" t="s">
        <v>299</v>
      </c>
      <c r="F288" t="s"/>
      <c r="G288" t="s"/>
      <c r="H288" t="s"/>
      <c r="I288" t="s"/>
      <c r="J288" t="n">
        <v>0.4019</v>
      </c>
      <c r="K288" t="n">
        <v>0</v>
      </c>
      <c r="L288" t="n">
        <v>0.787</v>
      </c>
      <c r="M288" t="n">
        <v>0.213</v>
      </c>
    </row>
    <row r="289" spans="1:13">
      <c r="A289" s="1">
        <f>HYPERLINK("http://www.twitter.com/NathanBLawrence/status/993684830838820865", "993684830838820865")</f>
        <v/>
      </c>
      <c r="B289" s="2" t="n">
        <v>43228.11921296296</v>
      </c>
      <c r="C289" t="n">
        <v>1</v>
      </c>
      <c r="D289" t="n">
        <v>0</v>
      </c>
      <c r="E289" t="s">
        <v>300</v>
      </c>
      <c r="F289" t="s"/>
      <c r="G289" t="s"/>
      <c r="H289" t="s"/>
      <c r="I289" t="s"/>
      <c r="J289" t="n">
        <v>-0.2846</v>
      </c>
      <c r="K289" t="n">
        <v>0.063</v>
      </c>
      <c r="L289" t="n">
        <v>0.9370000000000001</v>
      </c>
      <c r="M289" t="n">
        <v>0</v>
      </c>
    </row>
    <row r="290" spans="1:13">
      <c r="A290" s="1">
        <f>HYPERLINK("http://www.twitter.com/NathanBLawrence/status/993675033292738560", "993675033292738560")</f>
        <v/>
      </c>
      <c r="B290" s="2" t="n">
        <v>43228.09217592593</v>
      </c>
      <c r="C290" t="n">
        <v>6</v>
      </c>
      <c r="D290" t="n">
        <v>0</v>
      </c>
      <c r="E290" t="s">
        <v>301</v>
      </c>
      <c r="F290" t="s"/>
      <c r="G290" t="s"/>
      <c r="H290" t="s"/>
      <c r="I290" t="s"/>
      <c r="J290" t="n">
        <v>0</v>
      </c>
      <c r="K290" t="n">
        <v>0</v>
      </c>
      <c r="L290" t="n">
        <v>1</v>
      </c>
      <c r="M290" t="n">
        <v>0</v>
      </c>
    </row>
    <row r="291" spans="1:13">
      <c r="A291" s="1">
        <f>HYPERLINK("http://www.twitter.com/NathanBLawrence/status/993660270605107200", "993660270605107200")</f>
        <v/>
      </c>
      <c r="B291" s="2" t="n">
        <v>43228.05143518518</v>
      </c>
      <c r="C291" t="n">
        <v>1</v>
      </c>
      <c r="D291" t="n">
        <v>0</v>
      </c>
      <c r="E291" t="s">
        <v>302</v>
      </c>
      <c r="F291" t="s"/>
      <c r="G291" t="s"/>
      <c r="H291" t="s"/>
      <c r="I291" t="s"/>
      <c r="J291" t="n">
        <v>0</v>
      </c>
      <c r="K291" t="n">
        <v>0</v>
      </c>
      <c r="L291" t="n">
        <v>1</v>
      </c>
      <c r="M291" t="n">
        <v>0</v>
      </c>
    </row>
    <row r="292" spans="1:13">
      <c r="A292" s="1">
        <f>HYPERLINK("http://www.twitter.com/NathanBLawrence/status/993652447947214859", "993652447947214859")</f>
        <v/>
      </c>
      <c r="B292" s="2" t="n">
        <v>43228.02984953704</v>
      </c>
      <c r="C292" t="n">
        <v>1</v>
      </c>
      <c r="D292" t="n">
        <v>2</v>
      </c>
      <c r="E292" t="s">
        <v>303</v>
      </c>
      <c r="F292" t="s"/>
      <c r="G292" t="s"/>
      <c r="H292" t="s"/>
      <c r="I292" t="s"/>
      <c r="J292" t="n">
        <v>0</v>
      </c>
      <c r="K292" t="n">
        <v>0</v>
      </c>
      <c r="L292" t="n">
        <v>1</v>
      </c>
      <c r="M292" t="n">
        <v>0</v>
      </c>
    </row>
    <row r="293" spans="1:13">
      <c r="A293" s="1">
        <f>HYPERLINK("http://www.twitter.com/NathanBLawrence/status/993640097261260806", "993640097261260806")</f>
        <v/>
      </c>
      <c r="B293" s="2" t="n">
        <v>43227.99576388889</v>
      </c>
      <c r="C293" t="n">
        <v>0</v>
      </c>
      <c r="D293" t="n">
        <v>0</v>
      </c>
      <c r="E293" t="s">
        <v>304</v>
      </c>
      <c r="F293" t="s"/>
      <c r="G293" t="s"/>
      <c r="H293" t="s"/>
      <c r="I293" t="s"/>
      <c r="J293" t="n">
        <v>0</v>
      </c>
      <c r="K293" t="n">
        <v>0</v>
      </c>
      <c r="L293" t="n">
        <v>1</v>
      </c>
      <c r="M293" t="n">
        <v>0</v>
      </c>
    </row>
    <row r="294" spans="1:13">
      <c r="A294" s="1">
        <f>HYPERLINK("http://www.twitter.com/NathanBLawrence/status/993578925472276480", "993578925472276480")</f>
        <v/>
      </c>
      <c r="B294" s="2" t="n">
        <v>43227.82696759259</v>
      </c>
      <c r="C294" t="n">
        <v>0</v>
      </c>
      <c r="D294" t="n">
        <v>0</v>
      </c>
      <c r="E294" t="s">
        <v>305</v>
      </c>
      <c r="F294" t="s"/>
      <c r="G294" t="s"/>
      <c r="H294" t="s"/>
      <c r="I294" t="s"/>
      <c r="J294" t="n">
        <v>0</v>
      </c>
      <c r="K294" t="n">
        <v>0</v>
      </c>
      <c r="L294" t="n">
        <v>1</v>
      </c>
      <c r="M294" t="n">
        <v>0</v>
      </c>
    </row>
    <row r="295" spans="1:13">
      <c r="A295" s="1">
        <f>HYPERLINK("http://www.twitter.com/NathanBLawrence/status/993531654684729345", "993531654684729345")</f>
        <v/>
      </c>
      <c r="B295" s="2" t="n">
        <v>43227.69652777778</v>
      </c>
      <c r="C295" t="n">
        <v>0</v>
      </c>
      <c r="D295" t="n">
        <v>11</v>
      </c>
      <c r="E295" t="s">
        <v>306</v>
      </c>
      <c r="F295" t="s"/>
      <c r="G295" t="s"/>
      <c r="H295" t="s"/>
      <c r="I295" t="s"/>
      <c r="J295" t="n">
        <v>0</v>
      </c>
      <c r="K295" t="n">
        <v>0</v>
      </c>
      <c r="L295" t="n">
        <v>1</v>
      </c>
      <c r="M295" t="n">
        <v>0</v>
      </c>
    </row>
    <row r="296" spans="1:13">
      <c r="A296" s="1">
        <f>HYPERLINK("http://www.twitter.com/NathanBLawrence/status/993527700064260097", "993527700064260097")</f>
        <v/>
      </c>
      <c r="B296" s="2" t="n">
        <v>43227.68561342593</v>
      </c>
      <c r="C296" t="n">
        <v>1</v>
      </c>
      <c r="D296" t="n">
        <v>0</v>
      </c>
      <c r="E296" t="s">
        <v>307</v>
      </c>
      <c r="F296" t="s"/>
      <c r="G296" t="s"/>
      <c r="H296" t="s"/>
      <c r="I296" t="s"/>
      <c r="J296" t="n">
        <v>0.3753</v>
      </c>
      <c r="K296" t="n">
        <v>0</v>
      </c>
      <c r="L296" t="n">
        <v>0.732</v>
      </c>
      <c r="M296" t="n">
        <v>0.268</v>
      </c>
    </row>
    <row r="297" spans="1:13">
      <c r="A297" s="1">
        <f>HYPERLINK("http://www.twitter.com/NathanBLawrence/status/993512199984418816", "993512199984418816")</f>
        <v/>
      </c>
      <c r="B297" s="2" t="n">
        <v>43227.64283564815</v>
      </c>
      <c r="C297" t="n">
        <v>0</v>
      </c>
      <c r="D297" t="n">
        <v>0</v>
      </c>
      <c r="E297" t="s">
        <v>308</v>
      </c>
      <c r="F297" t="s"/>
      <c r="G297" t="s"/>
      <c r="H297" t="s"/>
      <c r="I297" t="s"/>
      <c r="J297" t="n">
        <v>0.4215</v>
      </c>
      <c r="K297" t="n">
        <v>0</v>
      </c>
      <c r="L297" t="n">
        <v>0.6820000000000001</v>
      </c>
      <c r="M297" t="n">
        <v>0.318</v>
      </c>
    </row>
    <row r="298" spans="1:13">
      <c r="A298" s="1">
        <f>HYPERLINK("http://www.twitter.com/NathanBLawrence/status/993506998237966336", "993506998237966336")</f>
        <v/>
      </c>
      <c r="B298" s="2" t="n">
        <v>43227.6284837963</v>
      </c>
      <c r="C298" t="n">
        <v>2</v>
      </c>
      <c r="D298" t="n">
        <v>0</v>
      </c>
      <c r="E298" t="s">
        <v>309</v>
      </c>
      <c r="F298" t="s"/>
      <c r="G298" t="s"/>
      <c r="H298" t="s"/>
      <c r="I298" t="s"/>
      <c r="J298" t="n">
        <v>0.3182</v>
      </c>
      <c r="K298" t="n">
        <v>0</v>
      </c>
      <c r="L298" t="n">
        <v>0.8129999999999999</v>
      </c>
      <c r="M298" t="n">
        <v>0.187</v>
      </c>
    </row>
    <row r="299" spans="1:13">
      <c r="A299" s="1">
        <f>HYPERLINK("http://www.twitter.com/NathanBLawrence/status/993501170013474817", "993501170013474817")</f>
        <v/>
      </c>
      <c r="B299" s="2" t="n">
        <v>43227.61239583333</v>
      </c>
      <c r="C299" t="n">
        <v>0</v>
      </c>
      <c r="D299" t="n">
        <v>0</v>
      </c>
      <c r="E299" t="s">
        <v>310</v>
      </c>
      <c r="F299" t="s"/>
      <c r="G299" t="s"/>
      <c r="H299" t="s"/>
      <c r="I299" t="s"/>
      <c r="J299" t="n">
        <v>0</v>
      </c>
      <c r="K299" t="n">
        <v>0</v>
      </c>
      <c r="L299" t="n">
        <v>1</v>
      </c>
      <c r="M299" t="n">
        <v>0</v>
      </c>
    </row>
    <row r="300" spans="1:13">
      <c r="A300" s="1">
        <f>HYPERLINK("http://www.twitter.com/NathanBLawrence/status/993499587804528640", "993499587804528640")</f>
        <v/>
      </c>
      <c r="B300" s="2" t="n">
        <v>43227.60803240741</v>
      </c>
      <c r="C300" t="n">
        <v>0</v>
      </c>
      <c r="D300" t="n">
        <v>33001</v>
      </c>
      <c r="E300" t="s">
        <v>311</v>
      </c>
      <c r="F300" t="s"/>
      <c r="G300" t="s"/>
      <c r="H300" t="s"/>
      <c r="I300" t="s"/>
      <c r="J300" t="n">
        <v>-0.6361</v>
      </c>
      <c r="K300" t="n">
        <v>0.252</v>
      </c>
      <c r="L300" t="n">
        <v>0.648</v>
      </c>
      <c r="M300" t="n">
        <v>0.101</v>
      </c>
    </row>
    <row r="301" spans="1:13">
      <c r="A301" s="1">
        <f>HYPERLINK("http://www.twitter.com/NathanBLawrence/status/993324607905116160", "993324607905116160")</f>
        <v/>
      </c>
      <c r="B301" s="2" t="n">
        <v>43227.12518518518</v>
      </c>
      <c r="C301" t="n">
        <v>0</v>
      </c>
      <c r="D301" t="n">
        <v>22</v>
      </c>
      <c r="E301" t="s">
        <v>312</v>
      </c>
      <c r="F301">
        <f>HYPERLINK("http://pbs.twimg.com/media/Dcjv9DmXkAIYevh.jpg", "http://pbs.twimg.com/media/Dcjv9DmXkAIYevh.jpg")</f>
        <v/>
      </c>
      <c r="G301" t="s"/>
      <c r="H301" t="s"/>
      <c r="I301" t="s"/>
      <c r="J301" t="n">
        <v>0.7177</v>
      </c>
      <c r="K301" t="n">
        <v>0</v>
      </c>
      <c r="L301" t="n">
        <v>0.7</v>
      </c>
      <c r="M301" t="n">
        <v>0.3</v>
      </c>
    </row>
    <row r="302" spans="1:13">
      <c r="A302" s="1">
        <f>HYPERLINK("http://www.twitter.com/NathanBLawrence/status/993301354289430529", "993301354289430529")</f>
        <v/>
      </c>
      <c r="B302" s="2" t="n">
        <v>43227.06101851852</v>
      </c>
      <c r="C302" t="n">
        <v>0</v>
      </c>
      <c r="D302" t="n">
        <v>0</v>
      </c>
      <c r="E302" t="s">
        <v>313</v>
      </c>
      <c r="F302" t="s"/>
      <c r="G302" t="s"/>
      <c r="H302" t="s"/>
      <c r="I302" t="s"/>
      <c r="J302" t="n">
        <v>0</v>
      </c>
      <c r="K302" t="n">
        <v>0</v>
      </c>
      <c r="L302" t="n">
        <v>1</v>
      </c>
      <c r="M302" t="n">
        <v>0</v>
      </c>
    </row>
    <row r="303" spans="1:13">
      <c r="A303" s="1">
        <f>HYPERLINK("http://www.twitter.com/NathanBLawrence/status/993300278978994177", "993300278978994177")</f>
        <v/>
      </c>
      <c r="B303" s="2" t="n">
        <v>43227.05804398148</v>
      </c>
      <c r="C303" t="n">
        <v>0</v>
      </c>
      <c r="D303" t="n">
        <v>0</v>
      </c>
      <c r="E303" t="s">
        <v>314</v>
      </c>
      <c r="F303" t="s"/>
      <c r="G303" t="s"/>
      <c r="H303" t="s"/>
      <c r="I303" t="s"/>
      <c r="J303" t="n">
        <v>0</v>
      </c>
      <c r="K303" t="n">
        <v>0</v>
      </c>
      <c r="L303" t="n">
        <v>1</v>
      </c>
      <c r="M303" t="n">
        <v>0</v>
      </c>
    </row>
    <row r="304" spans="1:13">
      <c r="A304" s="1">
        <f>HYPERLINK("http://www.twitter.com/NathanBLawrence/status/993292669622325248", "993292669622325248")</f>
        <v/>
      </c>
      <c r="B304" s="2" t="n">
        <v>43227.03704861111</v>
      </c>
      <c r="C304" t="n">
        <v>1</v>
      </c>
      <c r="D304" t="n">
        <v>0</v>
      </c>
      <c r="E304" t="s">
        <v>315</v>
      </c>
      <c r="F304" t="s"/>
      <c r="G304" t="s"/>
      <c r="H304" t="s"/>
      <c r="I304" t="s"/>
      <c r="J304" t="n">
        <v>-0.5562</v>
      </c>
      <c r="K304" t="n">
        <v>0.782</v>
      </c>
      <c r="L304" t="n">
        <v>0.218</v>
      </c>
      <c r="M304" t="n">
        <v>0</v>
      </c>
    </row>
    <row r="305" spans="1:13">
      <c r="A305" s="1">
        <f>HYPERLINK("http://www.twitter.com/NathanBLawrence/status/993287272995880960", "993287272995880960")</f>
        <v/>
      </c>
      <c r="B305" s="2" t="n">
        <v>43227.02215277778</v>
      </c>
      <c r="C305" t="n">
        <v>0</v>
      </c>
      <c r="D305" t="n">
        <v>0</v>
      </c>
      <c r="E305" t="s">
        <v>316</v>
      </c>
      <c r="F305" t="s"/>
      <c r="G305" t="s"/>
      <c r="H305" t="s"/>
      <c r="I305" t="s"/>
      <c r="J305" t="n">
        <v>0</v>
      </c>
      <c r="K305" t="n">
        <v>0</v>
      </c>
      <c r="L305" t="n">
        <v>1</v>
      </c>
      <c r="M305" t="n">
        <v>0</v>
      </c>
    </row>
    <row r="306" spans="1:13">
      <c r="A306" s="1">
        <f>HYPERLINK("http://www.twitter.com/NathanBLawrence/status/993187301214818304", "993187301214818304")</f>
        <v/>
      </c>
      <c r="B306" s="2" t="n">
        <v>43226.74628472222</v>
      </c>
      <c r="C306" t="n">
        <v>0</v>
      </c>
      <c r="D306" t="n">
        <v>29</v>
      </c>
      <c r="E306" t="s">
        <v>317</v>
      </c>
      <c r="F306" t="s"/>
      <c r="G306" t="s"/>
      <c r="H306" t="s"/>
      <c r="I306" t="s"/>
      <c r="J306" t="n">
        <v>0.2023</v>
      </c>
      <c r="K306" t="n">
        <v>0.08400000000000001</v>
      </c>
      <c r="L306" t="n">
        <v>0.796</v>
      </c>
      <c r="M306" t="n">
        <v>0.119</v>
      </c>
    </row>
    <row r="307" spans="1:13">
      <c r="A307" s="1">
        <f>HYPERLINK("http://www.twitter.com/NathanBLawrence/status/992928411189465088", "992928411189465088")</f>
        <v/>
      </c>
      <c r="B307" s="2" t="n">
        <v>43226.03188657408</v>
      </c>
      <c r="C307" t="n">
        <v>0</v>
      </c>
      <c r="D307" t="n">
        <v>0</v>
      </c>
      <c r="E307" t="s">
        <v>318</v>
      </c>
      <c r="F307" t="s"/>
      <c r="G307" t="s"/>
      <c r="H307" t="s"/>
      <c r="I307" t="s"/>
      <c r="J307" t="n">
        <v>0.8638</v>
      </c>
      <c r="K307" t="n">
        <v>0</v>
      </c>
      <c r="L307" t="n">
        <v>0.635</v>
      </c>
      <c r="M307" t="n">
        <v>0.365</v>
      </c>
    </row>
    <row r="308" spans="1:13">
      <c r="A308" s="1">
        <f>HYPERLINK("http://www.twitter.com/NathanBLawrence/status/992926963177345026", "992926963177345026")</f>
        <v/>
      </c>
      <c r="B308" s="2" t="n">
        <v>43226.02789351852</v>
      </c>
      <c r="C308" t="n">
        <v>0</v>
      </c>
      <c r="D308" t="n">
        <v>0</v>
      </c>
      <c r="E308" t="s">
        <v>319</v>
      </c>
      <c r="F308" t="s"/>
      <c r="G308" t="s"/>
      <c r="H308" t="s"/>
      <c r="I308" t="s"/>
      <c r="J308" t="n">
        <v>0</v>
      </c>
      <c r="K308" t="n">
        <v>0</v>
      </c>
      <c r="L308" t="n">
        <v>1</v>
      </c>
      <c r="M308" t="n">
        <v>0</v>
      </c>
    </row>
    <row r="309" spans="1:13">
      <c r="A309" s="1">
        <f>HYPERLINK("http://www.twitter.com/NathanBLawrence/status/992926348812447744", "992926348812447744")</f>
        <v/>
      </c>
      <c r="B309" s="2" t="n">
        <v>43226.02619212963</v>
      </c>
      <c r="C309" t="n">
        <v>0</v>
      </c>
      <c r="D309" t="n">
        <v>0</v>
      </c>
      <c r="E309" t="s">
        <v>320</v>
      </c>
      <c r="F309" t="s"/>
      <c r="G309" t="s"/>
      <c r="H309" t="s"/>
      <c r="I309" t="s"/>
      <c r="J309" t="n">
        <v>0.6219</v>
      </c>
      <c r="K309" t="n">
        <v>0</v>
      </c>
      <c r="L309" t="n">
        <v>0.495</v>
      </c>
      <c r="M309" t="n">
        <v>0.505</v>
      </c>
    </row>
    <row r="310" spans="1:13">
      <c r="A310" s="1">
        <f>HYPERLINK("http://www.twitter.com/NathanBLawrence/status/992923985418518530", "992923985418518530")</f>
        <v/>
      </c>
      <c r="B310" s="2" t="n">
        <v>43226.01967592593</v>
      </c>
      <c r="C310" t="n">
        <v>0</v>
      </c>
      <c r="D310" t="n">
        <v>11</v>
      </c>
      <c r="E310" t="s">
        <v>321</v>
      </c>
      <c r="F310" t="s"/>
      <c r="G310" t="s"/>
      <c r="H310" t="s"/>
      <c r="I310" t="s"/>
      <c r="J310" t="n">
        <v>0</v>
      </c>
      <c r="K310" t="n">
        <v>0</v>
      </c>
      <c r="L310" t="n">
        <v>1</v>
      </c>
      <c r="M310" t="n">
        <v>0</v>
      </c>
    </row>
    <row r="311" spans="1:13">
      <c r="A311" s="1">
        <f>HYPERLINK("http://www.twitter.com/NathanBLawrence/status/992923895073263616", "992923895073263616")</f>
        <v/>
      </c>
      <c r="B311" s="2" t="n">
        <v>43226.0194212963</v>
      </c>
      <c r="C311" t="n">
        <v>0</v>
      </c>
      <c r="D311" t="n">
        <v>0</v>
      </c>
      <c r="E311" t="s">
        <v>322</v>
      </c>
      <c r="F311" t="s"/>
      <c r="G311" t="s"/>
      <c r="H311" t="s"/>
      <c r="I311" t="s"/>
      <c r="J311" t="n">
        <v>0.5538</v>
      </c>
      <c r="K311" t="n">
        <v>0</v>
      </c>
      <c r="L311" t="n">
        <v>0.737</v>
      </c>
      <c r="M311" t="n">
        <v>0.263</v>
      </c>
    </row>
    <row r="312" spans="1:13">
      <c r="A312" s="1">
        <f>HYPERLINK("http://www.twitter.com/NathanBLawrence/status/992923300782395394", "992923300782395394")</f>
        <v/>
      </c>
      <c r="B312" s="2" t="n">
        <v>43226.01778935185</v>
      </c>
      <c r="C312" t="n">
        <v>0</v>
      </c>
      <c r="D312" t="n">
        <v>0</v>
      </c>
      <c r="E312" t="s">
        <v>323</v>
      </c>
      <c r="F312" t="s"/>
      <c r="G312" t="s"/>
      <c r="H312" t="s"/>
      <c r="I312" t="s"/>
      <c r="J312" t="n">
        <v>0.0516</v>
      </c>
      <c r="K312" t="n">
        <v>0.189</v>
      </c>
      <c r="L312" t="n">
        <v>0.61</v>
      </c>
      <c r="M312" t="n">
        <v>0.201</v>
      </c>
    </row>
    <row r="313" spans="1:13">
      <c r="A313" s="1">
        <f>HYPERLINK("http://www.twitter.com/NathanBLawrence/status/992623351570067459", "992623351570067459")</f>
        <v/>
      </c>
      <c r="B313" s="2" t="n">
        <v>43225.19008101852</v>
      </c>
      <c r="C313" t="n">
        <v>0</v>
      </c>
      <c r="D313" t="n">
        <v>14</v>
      </c>
      <c r="E313" t="s">
        <v>324</v>
      </c>
      <c r="F313">
        <f>HYPERLINK("http://pbs.twimg.com/media/DcZ_pJzWkAAwxe9.jpg", "http://pbs.twimg.com/media/DcZ_pJzWkAAwxe9.jpg")</f>
        <v/>
      </c>
      <c r="G313" t="s"/>
      <c r="H313" t="s"/>
      <c r="I313" t="s"/>
      <c r="J313" t="n">
        <v>0.5766</v>
      </c>
      <c r="K313" t="n">
        <v>0.061</v>
      </c>
      <c r="L313" t="n">
        <v>0.719</v>
      </c>
      <c r="M313" t="n">
        <v>0.219</v>
      </c>
    </row>
    <row r="314" spans="1:13">
      <c r="A314" s="1">
        <f>HYPERLINK("http://www.twitter.com/NathanBLawrence/status/992585828793757696", "992585828793757696")</f>
        <v/>
      </c>
      <c r="B314" s="2" t="n">
        <v>43225.08653935185</v>
      </c>
      <c r="C314" t="n">
        <v>0</v>
      </c>
      <c r="D314" t="n">
        <v>0</v>
      </c>
      <c r="E314" t="s">
        <v>325</v>
      </c>
      <c r="F314" t="s"/>
      <c r="G314" t="s"/>
      <c r="H314" t="s"/>
      <c r="I314" t="s"/>
      <c r="J314" t="n">
        <v>0.4754</v>
      </c>
      <c r="K314" t="n">
        <v>0</v>
      </c>
      <c r="L314" t="n">
        <v>0.5639999999999999</v>
      </c>
      <c r="M314" t="n">
        <v>0.436</v>
      </c>
    </row>
    <row r="315" spans="1:13">
      <c r="A315" s="1">
        <f>HYPERLINK("http://www.twitter.com/NathanBLawrence/status/992579990012211200", "992579990012211200")</f>
        <v/>
      </c>
      <c r="B315" s="2" t="n">
        <v>43225.07042824074</v>
      </c>
      <c r="C315" t="n">
        <v>2</v>
      </c>
      <c r="D315" t="n">
        <v>1</v>
      </c>
      <c r="E315" t="s">
        <v>326</v>
      </c>
      <c r="F315" t="s"/>
      <c r="G315" t="s"/>
      <c r="H315" t="s"/>
      <c r="I315" t="s"/>
      <c r="J315" t="n">
        <v>-0.6705</v>
      </c>
      <c r="K315" t="n">
        <v>0.216</v>
      </c>
      <c r="L315" t="n">
        <v>0.784</v>
      </c>
      <c r="M315" t="n">
        <v>0</v>
      </c>
    </row>
    <row r="316" spans="1:13">
      <c r="A316" s="1">
        <f>HYPERLINK("http://www.twitter.com/NathanBLawrence/status/992579455485927426", "992579455485927426")</f>
        <v/>
      </c>
      <c r="B316" s="2" t="n">
        <v>43225.06895833334</v>
      </c>
      <c r="C316" t="n">
        <v>0</v>
      </c>
      <c r="D316" t="n">
        <v>0</v>
      </c>
      <c r="E316" t="s">
        <v>327</v>
      </c>
      <c r="F316" t="s"/>
      <c r="G316" t="s"/>
      <c r="H316" t="s"/>
      <c r="I316" t="s"/>
      <c r="J316" t="n">
        <v>0</v>
      </c>
      <c r="K316" t="n">
        <v>0</v>
      </c>
      <c r="L316" t="n">
        <v>1</v>
      </c>
      <c r="M316" t="n">
        <v>0</v>
      </c>
    </row>
    <row r="317" spans="1:13">
      <c r="A317" s="1">
        <f>HYPERLINK("http://www.twitter.com/NathanBLawrence/status/992576854577045504", "992576854577045504")</f>
        <v/>
      </c>
      <c r="B317" s="2" t="n">
        <v>43225.06177083333</v>
      </c>
      <c r="C317" t="n">
        <v>0</v>
      </c>
      <c r="D317" t="n">
        <v>10</v>
      </c>
      <c r="E317" t="s">
        <v>328</v>
      </c>
      <c r="F317">
        <f>HYPERLINK("http://pbs.twimg.com/media/DcZUsGmX0AAew3i.jpg", "http://pbs.twimg.com/media/DcZUsGmX0AAew3i.jpg")</f>
        <v/>
      </c>
      <c r="G317" t="s"/>
      <c r="H317" t="s"/>
      <c r="I317" t="s"/>
      <c r="J317" t="n">
        <v>0</v>
      </c>
      <c r="K317" t="n">
        <v>0</v>
      </c>
      <c r="L317" t="n">
        <v>1</v>
      </c>
      <c r="M317" t="n">
        <v>0</v>
      </c>
    </row>
    <row r="318" spans="1:13">
      <c r="A318" s="1">
        <f>HYPERLINK("http://www.twitter.com/NathanBLawrence/status/992571684333981696", "992571684333981696")</f>
        <v/>
      </c>
      <c r="B318" s="2" t="n">
        <v>43225.04751157408</v>
      </c>
      <c r="C318" t="n">
        <v>3</v>
      </c>
      <c r="D318" t="n">
        <v>0</v>
      </c>
      <c r="E318" t="s">
        <v>329</v>
      </c>
      <c r="F318" t="s"/>
      <c r="G318" t="s"/>
      <c r="H318" t="s"/>
      <c r="I318" t="s"/>
      <c r="J318" t="n">
        <v>0.3182</v>
      </c>
      <c r="K318" t="n">
        <v>0</v>
      </c>
      <c r="L318" t="n">
        <v>0.723</v>
      </c>
      <c r="M318" t="n">
        <v>0.277</v>
      </c>
    </row>
    <row r="319" spans="1:13">
      <c r="A319" s="1">
        <f>HYPERLINK("http://www.twitter.com/NathanBLawrence/status/992570004087476224", "992570004087476224")</f>
        <v/>
      </c>
      <c r="B319" s="2" t="n">
        <v>43225.04287037037</v>
      </c>
      <c r="C319" t="n">
        <v>0</v>
      </c>
      <c r="D319" t="n">
        <v>0</v>
      </c>
      <c r="E319" t="s">
        <v>330</v>
      </c>
      <c r="F319" t="s"/>
      <c r="G319" t="s"/>
      <c r="H319" t="s"/>
      <c r="I319" t="s"/>
      <c r="J319" t="n">
        <v>0.1779</v>
      </c>
      <c r="K319" t="n">
        <v>0.11</v>
      </c>
      <c r="L319" t="n">
        <v>0.661</v>
      </c>
      <c r="M319" t="n">
        <v>0.229</v>
      </c>
    </row>
    <row r="320" spans="1:13">
      <c r="A320" s="1">
        <f>HYPERLINK("http://www.twitter.com/NathanBLawrence/status/992568861940740096", "992568861940740096")</f>
        <v/>
      </c>
      <c r="B320" s="2" t="n">
        <v>43225.03972222222</v>
      </c>
      <c r="C320" t="n">
        <v>0</v>
      </c>
      <c r="D320" t="n">
        <v>18</v>
      </c>
      <c r="E320" t="s">
        <v>331</v>
      </c>
      <c r="F320" t="s"/>
      <c r="G320" t="s"/>
      <c r="H320" t="s"/>
      <c r="I320" t="s"/>
      <c r="J320" t="n">
        <v>0.3182</v>
      </c>
      <c r="K320" t="n">
        <v>0.093</v>
      </c>
      <c r="L320" t="n">
        <v>0.711</v>
      </c>
      <c r="M320" t="n">
        <v>0.196</v>
      </c>
    </row>
    <row r="321" spans="1:13">
      <c r="A321" s="1">
        <f>HYPERLINK("http://www.twitter.com/NathanBLawrence/status/992545024473788416", "992545024473788416")</f>
        <v/>
      </c>
      <c r="B321" s="2" t="n">
        <v>43224.97394675926</v>
      </c>
      <c r="C321" t="n">
        <v>0</v>
      </c>
      <c r="D321" t="n">
        <v>0</v>
      </c>
      <c r="E321" t="s">
        <v>332</v>
      </c>
      <c r="F321" t="s"/>
      <c r="G321" t="s"/>
      <c r="H321" t="s"/>
      <c r="I321" t="s"/>
      <c r="J321" t="n">
        <v>0</v>
      </c>
      <c r="K321" t="n">
        <v>0</v>
      </c>
      <c r="L321" t="n">
        <v>1</v>
      </c>
      <c r="M321" t="n">
        <v>0</v>
      </c>
    </row>
    <row r="322" spans="1:13">
      <c r="A322" s="1">
        <f>HYPERLINK("http://www.twitter.com/NathanBLawrence/status/992543931660464131", "992543931660464131")</f>
        <v/>
      </c>
      <c r="B322" s="2" t="n">
        <v>43224.97092592593</v>
      </c>
      <c r="C322" t="n">
        <v>0</v>
      </c>
      <c r="D322" t="n">
        <v>0</v>
      </c>
      <c r="E322" t="s">
        <v>333</v>
      </c>
      <c r="F322" t="s"/>
      <c r="G322" t="s"/>
      <c r="H322" t="s"/>
      <c r="I322" t="s"/>
      <c r="J322" t="n">
        <v>0</v>
      </c>
      <c r="K322" t="n">
        <v>0</v>
      </c>
      <c r="L322" t="n">
        <v>1</v>
      </c>
      <c r="M322" t="n">
        <v>0</v>
      </c>
    </row>
    <row r="323" spans="1:13">
      <c r="A323" s="1">
        <f>HYPERLINK("http://www.twitter.com/NathanBLawrence/status/992501299274027008", "992501299274027008")</f>
        <v/>
      </c>
      <c r="B323" s="2" t="n">
        <v>43224.85328703704</v>
      </c>
      <c r="C323" t="n">
        <v>1</v>
      </c>
      <c r="D323" t="n">
        <v>0</v>
      </c>
      <c r="E323" t="s">
        <v>334</v>
      </c>
      <c r="F323" t="s"/>
      <c r="G323" t="s"/>
      <c r="H323" t="s"/>
      <c r="I323" t="s"/>
      <c r="J323" t="n">
        <v>0</v>
      </c>
      <c r="K323" t="n">
        <v>0</v>
      </c>
      <c r="L323" t="n">
        <v>1</v>
      </c>
      <c r="M323" t="n">
        <v>0</v>
      </c>
    </row>
    <row r="324" spans="1:13">
      <c r="A324" s="1">
        <f>HYPERLINK("http://www.twitter.com/NathanBLawrence/status/992501290994413568", "992501290994413568")</f>
        <v/>
      </c>
      <c r="B324" s="2" t="n">
        <v>43224.85326388889</v>
      </c>
      <c r="C324" t="n">
        <v>0</v>
      </c>
      <c r="D324" t="n">
        <v>0</v>
      </c>
      <c r="E324" t="s">
        <v>335</v>
      </c>
      <c r="F324" t="s"/>
      <c r="G324" t="s"/>
      <c r="H324" t="s"/>
      <c r="I324" t="s"/>
      <c r="J324" t="n">
        <v>0</v>
      </c>
      <c r="K324" t="n">
        <v>0</v>
      </c>
      <c r="L324" t="n">
        <v>1</v>
      </c>
      <c r="M324" t="n">
        <v>0</v>
      </c>
    </row>
    <row r="325" spans="1:13">
      <c r="A325" s="1">
        <f>HYPERLINK("http://www.twitter.com/NathanBLawrence/status/992501282668732417", "992501282668732417")</f>
        <v/>
      </c>
      <c r="B325" s="2" t="n">
        <v>43224.85324074074</v>
      </c>
      <c r="C325" t="n">
        <v>2</v>
      </c>
      <c r="D325" t="n">
        <v>0</v>
      </c>
      <c r="E325" t="s">
        <v>336</v>
      </c>
      <c r="F325" t="s"/>
      <c r="G325" t="s"/>
      <c r="H325" t="s"/>
      <c r="I325" t="s"/>
      <c r="J325" t="n">
        <v>-0.5994</v>
      </c>
      <c r="K325" t="n">
        <v>0.394</v>
      </c>
      <c r="L325" t="n">
        <v>0.606</v>
      </c>
      <c r="M325" t="n">
        <v>0</v>
      </c>
    </row>
    <row r="326" spans="1:13">
      <c r="A326" s="1">
        <f>HYPERLINK("http://www.twitter.com/NathanBLawrence/status/992482895641088005", "992482895641088005")</f>
        <v/>
      </c>
      <c r="B326" s="2" t="n">
        <v>43224.8025</v>
      </c>
      <c r="C326" t="n">
        <v>0</v>
      </c>
      <c r="D326" t="n">
        <v>0</v>
      </c>
      <c r="E326" t="s">
        <v>337</v>
      </c>
      <c r="F326" t="s"/>
      <c r="G326" t="s"/>
      <c r="H326" t="s"/>
      <c r="I326" t="s"/>
      <c r="J326" t="n">
        <v>0.3612</v>
      </c>
      <c r="K326" t="n">
        <v>0</v>
      </c>
      <c r="L326" t="n">
        <v>0.865</v>
      </c>
      <c r="M326" t="n">
        <v>0.135</v>
      </c>
    </row>
    <row r="327" spans="1:13">
      <c r="A327" s="1">
        <f>HYPERLINK("http://www.twitter.com/NathanBLawrence/status/992468967016017923", "992468967016017923")</f>
        <v/>
      </c>
      <c r="B327" s="2" t="n">
        <v>43224.7640625</v>
      </c>
      <c r="C327" t="n">
        <v>1</v>
      </c>
      <c r="D327" t="n">
        <v>0</v>
      </c>
      <c r="E327" t="s">
        <v>338</v>
      </c>
      <c r="F327" t="s"/>
      <c r="G327" t="s"/>
      <c r="H327" t="s"/>
      <c r="I327" t="s"/>
      <c r="J327" t="n">
        <v>0</v>
      </c>
      <c r="K327" t="n">
        <v>0</v>
      </c>
      <c r="L327" t="n">
        <v>1</v>
      </c>
      <c r="M327" t="n">
        <v>0</v>
      </c>
    </row>
    <row r="328" spans="1:13">
      <c r="A328" s="1">
        <f>HYPERLINK("http://www.twitter.com/NathanBLawrence/status/992444534813491200", "992444534813491200")</f>
        <v/>
      </c>
      <c r="B328" s="2" t="n">
        <v>43224.69664351852</v>
      </c>
      <c r="C328" t="n">
        <v>1</v>
      </c>
      <c r="D328" t="n">
        <v>1</v>
      </c>
      <c r="E328" t="s">
        <v>339</v>
      </c>
      <c r="F328" t="s"/>
      <c r="G328" t="s"/>
      <c r="H328" t="s"/>
      <c r="I328" t="s"/>
      <c r="J328" t="n">
        <v>-0.5673</v>
      </c>
      <c r="K328" t="n">
        <v>0.379</v>
      </c>
      <c r="L328" t="n">
        <v>0.621</v>
      </c>
      <c r="M328" t="n">
        <v>0</v>
      </c>
    </row>
    <row r="329" spans="1:13">
      <c r="A329" s="1">
        <f>HYPERLINK("http://www.twitter.com/NathanBLawrence/status/992443034955603969", "992443034955603969")</f>
        <v/>
      </c>
      <c r="B329" s="2" t="n">
        <v>43224.6925</v>
      </c>
      <c r="C329" t="n">
        <v>7</v>
      </c>
      <c r="D329" t="n">
        <v>2</v>
      </c>
      <c r="E329" t="s">
        <v>340</v>
      </c>
      <c r="F329" t="s"/>
      <c r="G329" t="s"/>
      <c r="H329" t="s"/>
      <c r="I329" t="s"/>
      <c r="J329" t="n">
        <v>0</v>
      </c>
      <c r="K329" t="n">
        <v>0</v>
      </c>
      <c r="L329" t="n">
        <v>1</v>
      </c>
      <c r="M329" t="n">
        <v>0</v>
      </c>
    </row>
    <row r="330" spans="1:13">
      <c r="A330" s="1">
        <f>HYPERLINK("http://www.twitter.com/NathanBLawrence/status/992420095375835137", "992420095375835137")</f>
        <v/>
      </c>
      <c r="B330" s="2" t="n">
        <v>43224.62920138889</v>
      </c>
      <c r="C330" t="n">
        <v>0</v>
      </c>
      <c r="D330" t="n">
        <v>0</v>
      </c>
      <c r="E330" t="s">
        <v>341</v>
      </c>
      <c r="F330" t="s"/>
      <c r="G330" t="s"/>
      <c r="H330" t="s"/>
      <c r="I330" t="s"/>
      <c r="J330" t="n">
        <v>0.2057</v>
      </c>
      <c r="K330" t="n">
        <v>0</v>
      </c>
      <c r="L330" t="n">
        <v>0.794</v>
      </c>
      <c r="M330" t="n">
        <v>0.206</v>
      </c>
    </row>
    <row r="331" spans="1:13">
      <c r="A331" s="1">
        <f>HYPERLINK("http://www.twitter.com/NathanBLawrence/status/992419726684016640", "992419726684016640")</f>
        <v/>
      </c>
      <c r="B331" s="2" t="n">
        <v>43224.62818287037</v>
      </c>
      <c r="C331" t="n">
        <v>0</v>
      </c>
      <c r="D331" t="n">
        <v>0</v>
      </c>
      <c r="E331" t="s">
        <v>342</v>
      </c>
      <c r="F331" t="s"/>
      <c r="G331" t="s"/>
      <c r="H331" t="s"/>
      <c r="I331" t="s"/>
      <c r="J331" t="n">
        <v>-0.6876</v>
      </c>
      <c r="K331" t="n">
        <v>0.389</v>
      </c>
      <c r="L331" t="n">
        <v>0.465</v>
      </c>
      <c r="M331" t="n">
        <v>0.146</v>
      </c>
    </row>
    <row r="332" spans="1:13">
      <c r="A332" s="1">
        <f>HYPERLINK("http://www.twitter.com/NathanBLawrence/status/992389924774187013", "992389924774187013")</f>
        <v/>
      </c>
      <c r="B332" s="2" t="n">
        <v>43224.54594907408</v>
      </c>
      <c r="C332" t="n">
        <v>0</v>
      </c>
      <c r="D332" t="n">
        <v>0</v>
      </c>
      <c r="E332" t="s">
        <v>343</v>
      </c>
      <c r="F332" t="s"/>
      <c r="G332" t="s"/>
      <c r="H332" t="s"/>
      <c r="I332" t="s"/>
      <c r="J332" t="n">
        <v>-0.3182</v>
      </c>
      <c r="K332" t="n">
        <v>0.141</v>
      </c>
      <c r="L332" t="n">
        <v>0.859</v>
      </c>
      <c r="M332" t="n">
        <v>0</v>
      </c>
    </row>
    <row r="333" spans="1:13">
      <c r="A333" s="1">
        <f>HYPERLINK("http://www.twitter.com/NathanBLawrence/status/992388830153138176", "992388830153138176")</f>
        <v/>
      </c>
      <c r="B333" s="2" t="n">
        <v>43224.54292824074</v>
      </c>
      <c r="C333" t="n">
        <v>0</v>
      </c>
      <c r="D333" t="n">
        <v>0</v>
      </c>
      <c r="E333" t="s">
        <v>344</v>
      </c>
      <c r="F333" t="s"/>
      <c r="G333" t="s"/>
      <c r="H333" t="s"/>
      <c r="I333" t="s"/>
      <c r="J333" t="n">
        <v>-0.4696</v>
      </c>
      <c r="K333" t="n">
        <v>0.191</v>
      </c>
      <c r="L333" t="n">
        <v>0.8090000000000001</v>
      </c>
      <c r="M333" t="n">
        <v>0</v>
      </c>
    </row>
    <row r="334" spans="1:13">
      <c r="A334" s="1">
        <f>HYPERLINK("http://www.twitter.com/NathanBLawrence/status/992387196043907072", "992387196043907072")</f>
        <v/>
      </c>
      <c r="B334" s="2" t="n">
        <v>43224.53841435185</v>
      </c>
      <c r="C334" t="n">
        <v>1</v>
      </c>
      <c r="D334" t="n">
        <v>0</v>
      </c>
      <c r="E334" t="s">
        <v>345</v>
      </c>
      <c r="F334" t="s"/>
      <c r="G334" t="s"/>
      <c r="H334" t="s"/>
      <c r="I334" t="s"/>
      <c r="J334" t="n">
        <v>0.802</v>
      </c>
      <c r="K334" t="n">
        <v>0</v>
      </c>
      <c r="L334" t="n">
        <v>0.699</v>
      </c>
      <c r="M334" t="n">
        <v>0.301</v>
      </c>
    </row>
    <row r="335" spans="1:13">
      <c r="A335" s="1">
        <f>HYPERLINK("http://www.twitter.com/NathanBLawrence/status/992385207553675264", "992385207553675264")</f>
        <v/>
      </c>
      <c r="B335" s="2" t="n">
        <v>43224.53292824074</v>
      </c>
      <c r="C335" t="n">
        <v>0</v>
      </c>
      <c r="D335" t="n">
        <v>0</v>
      </c>
      <c r="E335" t="s">
        <v>346</v>
      </c>
      <c r="F335" t="s"/>
      <c r="G335" t="s"/>
      <c r="H335" t="s"/>
      <c r="I335" t="s"/>
      <c r="J335" t="n">
        <v>0.7275</v>
      </c>
      <c r="K335" t="n">
        <v>0</v>
      </c>
      <c r="L335" t="n">
        <v>0.643</v>
      </c>
      <c r="M335" t="n">
        <v>0.357</v>
      </c>
    </row>
    <row r="336" spans="1:13">
      <c r="A336" s="1">
        <f>HYPERLINK("http://www.twitter.com/NathanBLawrence/status/992384368428683265", "992384368428683265")</f>
        <v/>
      </c>
      <c r="B336" s="2" t="n">
        <v>43224.53061342592</v>
      </c>
      <c r="C336" t="n">
        <v>1</v>
      </c>
      <c r="D336" t="n">
        <v>0</v>
      </c>
      <c r="E336" t="s">
        <v>347</v>
      </c>
      <c r="F336" t="s"/>
      <c r="G336" t="s"/>
      <c r="H336" t="s"/>
      <c r="I336" t="s"/>
      <c r="J336" t="n">
        <v>0</v>
      </c>
      <c r="K336" t="n">
        <v>0</v>
      </c>
      <c r="L336" t="n">
        <v>1</v>
      </c>
      <c r="M336" t="n">
        <v>0</v>
      </c>
    </row>
    <row r="337" spans="1:13">
      <c r="A337" s="1">
        <f>HYPERLINK("http://www.twitter.com/NathanBLawrence/status/992383708857602048", "992383708857602048")</f>
        <v/>
      </c>
      <c r="B337" s="2" t="n">
        <v>43224.5287962963</v>
      </c>
      <c r="C337" t="n">
        <v>0</v>
      </c>
      <c r="D337" t="n">
        <v>0</v>
      </c>
      <c r="E337" t="s">
        <v>348</v>
      </c>
      <c r="F337" t="s"/>
      <c r="G337" t="s"/>
      <c r="H337" t="s"/>
      <c r="I337" t="s"/>
      <c r="J337" t="n">
        <v>0</v>
      </c>
      <c r="K337" t="n">
        <v>0</v>
      </c>
      <c r="L337" t="n">
        <v>1</v>
      </c>
      <c r="M337" t="n">
        <v>0</v>
      </c>
    </row>
    <row r="338" spans="1:13">
      <c r="A338" s="1">
        <f>HYPERLINK("http://www.twitter.com/NathanBLawrence/status/992382883854733315", "992382883854733315")</f>
        <v/>
      </c>
      <c r="B338" s="2" t="n">
        <v>43224.5265162037</v>
      </c>
      <c r="C338" t="n">
        <v>0</v>
      </c>
      <c r="D338" t="n">
        <v>0</v>
      </c>
      <c r="E338" t="s">
        <v>349</v>
      </c>
      <c r="F338" t="s"/>
      <c r="G338" t="s"/>
      <c r="H338" t="s"/>
      <c r="I338" t="s"/>
      <c r="J338" t="n">
        <v>0.25</v>
      </c>
      <c r="K338" t="n">
        <v>0</v>
      </c>
      <c r="L338" t="n">
        <v>0.882</v>
      </c>
      <c r="M338" t="n">
        <v>0.118</v>
      </c>
    </row>
    <row r="339" spans="1:13">
      <c r="A339" s="1">
        <f>HYPERLINK("http://www.twitter.com/NathanBLawrence/status/992382048664018946", "992382048664018946")</f>
        <v/>
      </c>
      <c r="B339" s="2" t="n">
        <v>43224.52421296296</v>
      </c>
      <c r="C339" t="n">
        <v>13</v>
      </c>
      <c r="D339" t="n">
        <v>9</v>
      </c>
      <c r="E339" t="s">
        <v>350</v>
      </c>
      <c r="F339" t="s"/>
      <c r="G339" t="s"/>
      <c r="H339" t="s"/>
      <c r="I339" t="s"/>
      <c r="J339" t="n">
        <v>0.6899999999999999</v>
      </c>
      <c r="K339" t="n">
        <v>0.04</v>
      </c>
      <c r="L339" t="n">
        <v>0.82</v>
      </c>
      <c r="M339" t="n">
        <v>0.139</v>
      </c>
    </row>
    <row r="340" spans="1:13">
      <c r="A340" s="1">
        <f>HYPERLINK("http://www.twitter.com/NathanBLawrence/status/992381050264473600", "992381050264473600")</f>
        <v/>
      </c>
      <c r="B340" s="2" t="n">
        <v>43224.52145833334</v>
      </c>
      <c r="C340" t="n">
        <v>16</v>
      </c>
      <c r="D340" t="n">
        <v>12</v>
      </c>
      <c r="E340" t="s">
        <v>351</v>
      </c>
      <c r="F340" t="s"/>
      <c r="G340" t="s"/>
      <c r="H340" t="s"/>
      <c r="I340" t="s"/>
      <c r="J340" t="n">
        <v>-0.6883</v>
      </c>
      <c r="K340" t="n">
        <v>0.14</v>
      </c>
      <c r="L340" t="n">
        <v>0.788</v>
      </c>
      <c r="M340" t="n">
        <v>0.07099999999999999</v>
      </c>
    </row>
    <row r="341" spans="1:13">
      <c r="A341" s="1">
        <f>HYPERLINK("http://www.twitter.com/NathanBLawrence/status/992241338790932480", "992241338790932480")</f>
        <v/>
      </c>
      <c r="B341" s="2" t="n">
        <v>43224.13592592593</v>
      </c>
      <c r="C341" t="n">
        <v>1</v>
      </c>
      <c r="D341" t="n">
        <v>0</v>
      </c>
      <c r="E341" t="s">
        <v>352</v>
      </c>
      <c r="F341" t="s"/>
      <c r="G341" t="s"/>
      <c r="H341" t="s"/>
      <c r="I341" t="s"/>
      <c r="J341" t="n">
        <v>0</v>
      </c>
      <c r="K341" t="n">
        <v>0</v>
      </c>
      <c r="L341" t="n">
        <v>1</v>
      </c>
      <c r="M341" t="n">
        <v>0</v>
      </c>
    </row>
    <row r="342" spans="1:13">
      <c r="A342" s="1">
        <f>HYPERLINK("http://www.twitter.com/NathanBLawrence/status/992240355432157184", "992240355432157184")</f>
        <v/>
      </c>
      <c r="B342" s="2" t="n">
        <v>43224.13321759259</v>
      </c>
      <c r="C342" t="n">
        <v>12</v>
      </c>
      <c r="D342" t="n">
        <v>0</v>
      </c>
      <c r="E342" t="s">
        <v>353</v>
      </c>
      <c r="F342" t="s"/>
      <c r="G342" t="s"/>
      <c r="H342" t="s"/>
      <c r="I342" t="s"/>
      <c r="J342" t="n">
        <v>-0.6599</v>
      </c>
      <c r="K342" t="n">
        <v>0.205</v>
      </c>
      <c r="L342" t="n">
        <v>0.795</v>
      </c>
      <c r="M342" t="n">
        <v>0</v>
      </c>
    </row>
    <row r="343" spans="1:13">
      <c r="A343" s="1">
        <f>HYPERLINK("http://www.twitter.com/NathanBLawrence/status/992079602783850496", "992079602783850496")</f>
        <v/>
      </c>
      <c r="B343" s="2" t="n">
        <v>43223.68961805556</v>
      </c>
      <c r="C343" t="n">
        <v>0</v>
      </c>
      <c r="D343" t="n">
        <v>0</v>
      </c>
      <c r="E343" t="s">
        <v>354</v>
      </c>
      <c r="F343" t="s"/>
      <c r="G343" t="s"/>
      <c r="H343" t="s"/>
      <c r="I343" t="s"/>
      <c r="J343" t="n">
        <v>-0.5106000000000001</v>
      </c>
      <c r="K343" t="n">
        <v>0.202</v>
      </c>
      <c r="L343" t="n">
        <v>0.798</v>
      </c>
      <c r="M343" t="n">
        <v>0</v>
      </c>
    </row>
    <row r="344" spans="1:13">
      <c r="A344" s="1">
        <f>HYPERLINK("http://www.twitter.com/NathanBLawrence/status/991848930764701696", "991848930764701696")</f>
        <v/>
      </c>
      <c r="B344" s="2" t="n">
        <v>43223.05309027778</v>
      </c>
      <c r="C344" t="n">
        <v>0</v>
      </c>
      <c r="D344" t="n">
        <v>1165</v>
      </c>
      <c r="E344" t="s">
        <v>355</v>
      </c>
      <c r="F344" t="s"/>
      <c r="G344" t="s"/>
      <c r="H344" t="s"/>
      <c r="I344" t="s"/>
      <c r="J344" t="n">
        <v>-0.4588</v>
      </c>
      <c r="K344" t="n">
        <v>0.214</v>
      </c>
      <c r="L344" t="n">
        <v>0.786</v>
      </c>
      <c r="M344" t="n">
        <v>0</v>
      </c>
    </row>
    <row r="345" spans="1:13">
      <c r="A345" s="1">
        <f>HYPERLINK("http://www.twitter.com/NathanBLawrence/status/991405217160757248", "991405217160757248")</f>
        <v/>
      </c>
      <c r="B345" s="2" t="n">
        <v>43221.82866898148</v>
      </c>
      <c r="C345" t="n">
        <v>0</v>
      </c>
      <c r="D345" t="n">
        <v>0</v>
      </c>
      <c r="E345" t="s">
        <v>356</v>
      </c>
      <c r="F345" t="s"/>
      <c r="G345" t="s"/>
      <c r="H345" t="s"/>
      <c r="I345" t="s"/>
      <c r="J345" t="n">
        <v>0</v>
      </c>
      <c r="K345" t="n">
        <v>0</v>
      </c>
      <c r="L345" t="n">
        <v>1</v>
      </c>
      <c r="M345" t="n">
        <v>0</v>
      </c>
    </row>
    <row r="346" spans="1:13">
      <c r="A346" s="1">
        <f>HYPERLINK("http://www.twitter.com/NathanBLawrence/status/991160974651592704", "991160974651592704")</f>
        <v/>
      </c>
      <c r="B346" s="2" t="n">
        <v>43221.1546875</v>
      </c>
      <c r="C346" t="n">
        <v>0</v>
      </c>
      <c r="D346" t="n">
        <v>0</v>
      </c>
      <c r="E346" t="s">
        <v>357</v>
      </c>
      <c r="F346" t="s"/>
      <c r="G346" t="s"/>
      <c r="H346" t="s"/>
      <c r="I346" t="s"/>
      <c r="J346" t="n">
        <v>0</v>
      </c>
      <c r="K346" t="n">
        <v>0</v>
      </c>
      <c r="L346" t="n">
        <v>1</v>
      </c>
      <c r="M346" t="n">
        <v>0</v>
      </c>
    </row>
    <row r="347" spans="1:13">
      <c r="A347" s="1">
        <f>HYPERLINK("http://www.twitter.com/NathanBLawrence/status/991141642416672769", "991141642416672769")</f>
        <v/>
      </c>
      <c r="B347" s="2" t="n">
        <v>43221.10134259259</v>
      </c>
      <c r="C347" t="n">
        <v>0</v>
      </c>
      <c r="D347" t="n">
        <v>0</v>
      </c>
      <c r="E347" t="s">
        <v>358</v>
      </c>
      <c r="F347" t="s"/>
      <c r="G347" t="s"/>
      <c r="H347" t="s"/>
      <c r="I347" t="s"/>
      <c r="J347" t="n">
        <v>0.4724</v>
      </c>
      <c r="K347" t="n">
        <v>0</v>
      </c>
      <c r="L347" t="n">
        <v>0.394</v>
      </c>
      <c r="M347" t="n">
        <v>0.606</v>
      </c>
    </row>
    <row r="348" spans="1:13">
      <c r="A348" s="1">
        <f>HYPERLINK("http://www.twitter.com/NathanBLawrence/status/991137785959665664", "991137785959665664")</f>
        <v/>
      </c>
      <c r="B348" s="2" t="n">
        <v>43221.09070601852</v>
      </c>
      <c r="C348" t="n">
        <v>0</v>
      </c>
      <c r="D348" t="n">
        <v>0</v>
      </c>
      <c r="E348" t="s">
        <v>359</v>
      </c>
      <c r="F348" t="s"/>
      <c r="G348" t="s"/>
      <c r="H348" t="s"/>
      <c r="I348" t="s"/>
      <c r="J348" t="n">
        <v>-0.765</v>
      </c>
      <c r="K348" t="n">
        <v>0.306</v>
      </c>
      <c r="L348" t="n">
        <v>0.694</v>
      </c>
      <c r="M348" t="n">
        <v>0</v>
      </c>
    </row>
    <row r="349" spans="1:13">
      <c r="A349" s="1">
        <f>HYPERLINK("http://www.twitter.com/NathanBLawrence/status/991126662883479553", "991126662883479553")</f>
        <v/>
      </c>
      <c r="B349" s="2" t="n">
        <v>43221.06001157407</v>
      </c>
      <c r="C349" t="n">
        <v>1</v>
      </c>
      <c r="D349" t="n">
        <v>0</v>
      </c>
      <c r="E349" t="s">
        <v>360</v>
      </c>
      <c r="F349" t="s"/>
      <c r="G349" t="s"/>
      <c r="H349" t="s"/>
      <c r="I349" t="s"/>
      <c r="J349" t="n">
        <v>0.2263</v>
      </c>
      <c r="K349" t="n">
        <v>0</v>
      </c>
      <c r="L349" t="n">
        <v>0.8080000000000001</v>
      </c>
      <c r="M349" t="n">
        <v>0.192</v>
      </c>
    </row>
    <row r="350" spans="1:13">
      <c r="A350" s="1">
        <f>HYPERLINK("http://www.twitter.com/NathanBLawrence/status/991125858722238466", "991125858722238466")</f>
        <v/>
      </c>
      <c r="B350" s="2" t="n">
        <v>43221.05778935185</v>
      </c>
      <c r="C350" t="n">
        <v>4</v>
      </c>
      <c r="D350" t="n">
        <v>0</v>
      </c>
      <c r="E350" t="s">
        <v>361</v>
      </c>
      <c r="F350" t="s"/>
      <c r="G350" t="s"/>
      <c r="H350" t="s"/>
      <c r="I350" t="s"/>
      <c r="J350" t="n">
        <v>-0.4215</v>
      </c>
      <c r="K350" t="n">
        <v>0.149</v>
      </c>
      <c r="L350" t="n">
        <v>0.851</v>
      </c>
      <c r="M350" t="n">
        <v>0</v>
      </c>
    </row>
    <row r="351" spans="1:13">
      <c r="A351" s="1">
        <f>HYPERLINK("http://www.twitter.com/NathanBLawrence/status/991125211494875136", "991125211494875136")</f>
        <v/>
      </c>
      <c r="B351" s="2" t="n">
        <v>43221.05600694445</v>
      </c>
      <c r="C351" t="n">
        <v>0</v>
      </c>
      <c r="D351" t="n">
        <v>1</v>
      </c>
      <c r="E351" t="s">
        <v>362</v>
      </c>
      <c r="F351" t="s"/>
      <c r="G351" t="s"/>
      <c r="H351" t="s"/>
      <c r="I351" t="s"/>
      <c r="J351" t="n">
        <v>-0.1027</v>
      </c>
      <c r="K351" t="n">
        <v>0.149</v>
      </c>
      <c r="L351" t="n">
        <v>0.851</v>
      </c>
      <c r="M351" t="n">
        <v>0</v>
      </c>
    </row>
    <row r="352" spans="1:13">
      <c r="A352" s="1">
        <f>HYPERLINK("http://www.twitter.com/NathanBLawrence/status/991124096040783873", "991124096040783873")</f>
        <v/>
      </c>
      <c r="B352" s="2" t="n">
        <v>43221.05292824074</v>
      </c>
      <c r="C352" t="n">
        <v>6</v>
      </c>
      <c r="D352" t="n">
        <v>3</v>
      </c>
      <c r="E352" t="s">
        <v>363</v>
      </c>
      <c r="F352" t="s"/>
      <c r="G352" t="s"/>
      <c r="H352" t="s"/>
      <c r="I352" t="s"/>
      <c r="J352" t="n">
        <v>0.6253</v>
      </c>
      <c r="K352" t="n">
        <v>0.083</v>
      </c>
      <c r="L352" t="n">
        <v>0.698</v>
      </c>
      <c r="M352" t="n">
        <v>0.219</v>
      </c>
    </row>
    <row r="353" spans="1:13">
      <c r="A353" s="1">
        <f>HYPERLINK("http://www.twitter.com/NathanBLawrence/status/991097613104615424", "991097613104615424")</f>
        <v/>
      </c>
      <c r="B353" s="2" t="n">
        <v>43220.97984953703</v>
      </c>
      <c r="C353" t="n">
        <v>2</v>
      </c>
      <c r="D353" t="n">
        <v>0</v>
      </c>
      <c r="E353" t="s">
        <v>364</v>
      </c>
      <c r="F353" t="s"/>
      <c r="G353" t="s"/>
      <c r="H353" t="s"/>
      <c r="I353" t="s"/>
      <c r="J353" t="n">
        <v>0</v>
      </c>
      <c r="K353" t="n">
        <v>0</v>
      </c>
      <c r="L353" t="n">
        <v>1</v>
      </c>
      <c r="M353" t="n">
        <v>0</v>
      </c>
    </row>
    <row r="354" spans="1:13">
      <c r="A354" s="1">
        <f>HYPERLINK("http://www.twitter.com/NathanBLawrence/status/991094882755325952", "991094882755325952")</f>
        <v/>
      </c>
      <c r="B354" s="2" t="n">
        <v>43220.97231481481</v>
      </c>
      <c r="C354" t="n">
        <v>2</v>
      </c>
      <c r="D354" t="n">
        <v>1</v>
      </c>
      <c r="E354" t="s">
        <v>365</v>
      </c>
      <c r="F354" t="s"/>
      <c r="G354" t="s"/>
      <c r="H354" t="s"/>
      <c r="I354" t="s"/>
      <c r="J354" t="n">
        <v>0.3612</v>
      </c>
      <c r="K354" t="n">
        <v>0</v>
      </c>
      <c r="L354" t="n">
        <v>0.8</v>
      </c>
      <c r="M354" t="n">
        <v>0.2</v>
      </c>
    </row>
    <row r="355" spans="1:13">
      <c r="A355" s="1">
        <f>HYPERLINK("http://www.twitter.com/NathanBLawrence/status/991092726501466112", "991092726501466112")</f>
        <v/>
      </c>
      <c r="B355" s="2" t="n">
        <v>43220.96636574074</v>
      </c>
      <c r="C355" t="n">
        <v>0</v>
      </c>
      <c r="D355" t="n">
        <v>0</v>
      </c>
      <c r="E355" t="s">
        <v>366</v>
      </c>
      <c r="F355" t="s"/>
      <c r="G355" t="s"/>
      <c r="H355" t="s"/>
      <c r="I355" t="s"/>
      <c r="J355" t="n">
        <v>0</v>
      </c>
      <c r="K355" t="n">
        <v>0</v>
      </c>
      <c r="L355" t="n">
        <v>1</v>
      </c>
      <c r="M355" t="n">
        <v>0</v>
      </c>
    </row>
    <row r="356" spans="1:13">
      <c r="A356" s="1">
        <f>HYPERLINK("http://www.twitter.com/NathanBLawrence/status/991092265715228672", "991092265715228672")</f>
        <v/>
      </c>
      <c r="B356" s="2" t="n">
        <v>43220.9650925926</v>
      </c>
      <c r="C356" t="n">
        <v>0</v>
      </c>
      <c r="D356" t="n">
        <v>3</v>
      </c>
      <c r="E356" t="s">
        <v>367</v>
      </c>
      <c r="F356" t="s"/>
      <c r="G356" t="s"/>
      <c r="H356" t="s"/>
      <c r="I356" t="s"/>
      <c r="J356" t="n">
        <v>0.1027</v>
      </c>
      <c r="K356" t="n">
        <v>0.131</v>
      </c>
      <c r="L356" t="n">
        <v>0.721</v>
      </c>
      <c r="M356" t="n">
        <v>0.149</v>
      </c>
    </row>
    <row r="357" spans="1:13">
      <c r="A357" s="1">
        <f>HYPERLINK("http://www.twitter.com/NathanBLawrence/status/991091983736242178", "991091983736242178")</f>
        <v/>
      </c>
      <c r="B357" s="2" t="n">
        <v>43220.96431712963</v>
      </c>
      <c r="C357" t="n">
        <v>0</v>
      </c>
      <c r="D357" t="n">
        <v>40</v>
      </c>
      <c r="E357" t="s">
        <v>368</v>
      </c>
      <c r="F357">
        <f>HYPERLINK("http://pbs.twimg.com/media/DcEP1EyVAAAAJtl.jpg", "http://pbs.twimg.com/media/DcEP1EyVAAAAJtl.jpg")</f>
        <v/>
      </c>
      <c r="G357" t="s"/>
      <c r="H357" t="s"/>
      <c r="I357" t="s"/>
      <c r="J357" t="n">
        <v>0</v>
      </c>
      <c r="K357" t="n">
        <v>0</v>
      </c>
      <c r="L357" t="n">
        <v>1</v>
      </c>
      <c r="M357" t="n">
        <v>0</v>
      </c>
    </row>
    <row r="358" spans="1:13">
      <c r="A358" s="1">
        <f>HYPERLINK("http://www.twitter.com/NathanBLawrence/status/991091857949167616", "991091857949167616")</f>
        <v/>
      </c>
      <c r="B358" s="2" t="n">
        <v>43220.96396990741</v>
      </c>
      <c r="C358" t="n">
        <v>1</v>
      </c>
      <c r="D358" t="n">
        <v>0</v>
      </c>
      <c r="E358" t="s">
        <v>369</v>
      </c>
      <c r="F358" t="s"/>
      <c r="G358" t="s"/>
      <c r="H358" t="s"/>
      <c r="I358" t="s"/>
      <c r="J358" t="n">
        <v>0.6776</v>
      </c>
      <c r="K358" t="n">
        <v>0</v>
      </c>
      <c r="L358" t="n">
        <v>0.637</v>
      </c>
      <c r="M358" t="n">
        <v>0.363</v>
      </c>
    </row>
    <row r="359" spans="1:13">
      <c r="A359" s="1">
        <f>HYPERLINK("http://www.twitter.com/NathanBLawrence/status/991091680500645888", "991091680500645888")</f>
        <v/>
      </c>
      <c r="B359" s="2" t="n">
        <v>43220.96347222223</v>
      </c>
      <c r="C359" t="n">
        <v>1</v>
      </c>
      <c r="D359" t="n">
        <v>0</v>
      </c>
      <c r="E359" t="s">
        <v>370</v>
      </c>
      <c r="F359" t="s"/>
      <c r="G359" t="s"/>
      <c r="H359" t="s"/>
      <c r="I359" t="s"/>
      <c r="J359" t="n">
        <v>0</v>
      </c>
      <c r="K359" t="n">
        <v>0</v>
      </c>
      <c r="L359" t="n">
        <v>1</v>
      </c>
      <c r="M359" t="n">
        <v>0</v>
      </c>
    </row>
    <row r="360" spans="1:13">
      <c r="A360" s="1">
        <f>HYPERLINK("http://www.twitter.com/NathanBLawrence/status/991091337712807936", "991091337712807936")</f>
        <v/>
      </c>
      <c r="B360" s="2" t="n">
        <v>43220.96253472222</v>
      </c>
      <c r="C360" t="n">
        <v>0</v>
      </c>
      <c r="D360" t="n">
        <v>0</v>
      </c>
      <c r="E360" t="s">
        <v>371</v>
      </c>
      <c r="F360" t="s"/>
      <c r="G360" t="s"/>
      <c r="H360" t="s"/>
      <c r="I360" t="s"/>
      <c r="J360" t="n">
        <v>0</v>
      </c>
      <c r="K360" t="n">
        <v>0</v>
      </c>
      <c r="L360" t="n">
        <v>1</v>
      </c>
      <c r="M360" t="n">
        <v>0</v>
      </c>
    </row>
    <row r="361" spans="1:13">
      <c r="A361" s="1">
        <f>HYPERLINK("http://www.twitter.com/NathanBLawrence/status/991018374246387727", "991018374246387727")</f>
        <v/>
      </c>
      <c r="B361" s="2" t="n">
        <v>43220.76119212963</v>
      </c>
      <c r="C361" t="n">
        <v>0</v>
      </c>
      <c r="D361" t="n">
        <v>0</v>
      </c>
      <c r="E361" t="s">
        <v>372</v>
      </c>
      <c r="F361" t="s"/>
      <c r="G361" t="s"/>
      <c r="H361" t="s"/>
      <c r="I361" t="s"/>
      <c r="J361" t="n">
        <v>-0.0772</v>
      </c>
      <c r="K361" t="n">
        <v>0.394</v>
      </c>
      <c r="L361" t="n">
        <v>0.606</v>
      </c>
      <c r="M361" t="n">
        <v>0</v>
      </c>
    </row>
    <row r="362" spans="1:13">
      <c r="A362" s="1">
        <f>HYPERLINK("http://www.twitter.com/NathanBLawrence/status/990790722084360193", "990790722084360193")</f>
        <v/>
      </c>
      <c r="B362" s="2" t="n">
        <v>43220.13298611111</v>
      </c>
      <c r="C362" t="n">
        <v>0</v>
      </c>
      <c r="D362" t="n">
        <v>0</v>
      </c>
      <c r="E362" t="s">
        <v>373</v>
      </c>
      <c r="F362" t="s"/>
      <c r="G362" t="s"/>
      <c r="H362" t="s"/>
      <c r="I362" t="s"/>
      <c r="J362" t="n">
        <v>0</v>
      </c>
      <c r="K362" t="n">
        <v>0</v>
      </c>
      <c r="L362" t="n">
        <v>1</v>
      </c>
      <c r="M362" t="n">
        <v>0</v>
      </c>
    </row>
    <row r="363" spans="1:13">
      <c r="A363" s="1">
        <f>HYPERLINK("http://www.twitter.com/NathanBLawrence/status/990769882974257152", "990769882974257152")</f>
        <v/>
      </c>
      <c r="B363" s="2" t="n">
        <v>43220.07548611111</v>
      </c>
      <c r="C363" t="n">
        <v>0</v>
      </c>
      <c r="D363" t="n">
        <v>4808</v>
      </c>
      <c r="E363" t="s">
        <v>374</v>
      </c>
      <c r="F363" t="s"/>
      <c r="G363" t="s"/>
      <c r="H363" t="s"/>
      <c r="I363" t="s"/>
      <c r="J363" t="n">
        <v>0.0516</v>
      </c>
      <c r="K363" t="n">
        <v>0.08599999999999999</v>
      </c>
      <c r="L363" t="n">
        <v>0.82</v>
      </c>
      <c r="M363" t="n">
        <v>0.094</v>
      </c>
    </row>
    <row r="364" spans="1:13">
      <c r="A364" s="1">
        <f>HYPERLINK("http://www.twitter.com/NathanBLawrence/status/990413824309301248", "990413824309301248")</f>
        <v/>
      </c>
      <c r="B364" s="2" t="n">
        <v>43219.09295138889</v>
      </c>
      <c r="C364" t="n">
        <v>5</v>
      </c>
      <c r="D364" t="n">
        <v>1</v>
      </c>
      <c r="E364" t="s">
        <v>375</v>
      </c>
      <c r="F364" t="s"/>
      <c r="G364" t="s"/>
      <c r="H364" t="s"/>
      <c r="I364" t="s"/>
      <c r="J364" t="n">
        <v>-0.5826</v>
      </c>
      <c r="K364" t="n">
        <v>0.201</v>
      </c>
      <c r="L364" t="n">
        <v>0.799</v>
      </c>
      <c r="M364" t="n">
        <v>0</v>
      </c>
    </row>
    <row r="365" spans="1:13">
      <c r="A365" s="1">
        <f>HYPERLINK("http://www.twitter.com/NathanBLawrence/status/990377418207744000", "990377418207744000")</f>
        <v/>
      </c>
      <c r="B365" s="2" t="n">
        <v>43218.99248842592</v>
      </c>
      <c r="C365" t="n">
        <v>4</v>
      </c>
      <c r="D365" t="n">
        <v>3</v>
      </c>
      <c r="E365" t="s">
        <v>376</v>
      </c>
      <c r="F365" t="s"/>
      <c r="G365" t="s"/>
      <c r="H365" t="s"/>
      <c r="I365" t="s"/>
      <c r="J365" t="n">
        <v>0</v>
      </c>
      <c r="K365" t="n">
        <v>0</v>
      </c>
      <c r="L365" t="n">
        <v>1</v>
      </c>
      <c r="M365" t="n">
        <v>0</v>
      </c>
    </row>
    <row r="366" spans="1:13">
      <c r="A366" s="1">
        <f>HYPERLINK("http://www.twitter.com/NathanBLawrence/status/990374996659851264", "990374996659851264")</f>
        <v/>
      </c>
      <c r="B366" s="2" t="n">
        <v>43218.98581018519</v>
      </c>
      <c r="C366" t="n">
        <v>2</v>
      </c>
      <c r="D366" t="n">
        <v>1</v>
      </c>
      <c r="E366" t="s">
        <v>377</v>
      </c>
      <c r="F366" t="s"/>
      <c r="G366" t="s"/>
      <c r="H366" t="s"/>
      <c r="I366" t="s"/>
      <c r="J366" t="n">
        <v>0</v>
      </c>
      <c r="K366" t="n">
        <v>0</v>
      </c>
      <c r="L366" t="n">
        <v>1</v>
      </c>
      <c r="M366" t="n">
        <v>0</v>
      </c>
    </row>
    <row r="367" spans="1:13">
      <c r="A367" s="1">
        <f>HYPERLINK("http://www.twitter.com/NathanBLawrence/status/990270294383386625", "990270294383386625")</f>
        <v/>
      </c>
      <c r="B367" s="2" t="n">
        <v>43218.69688657407</v>
      </c>
      <c r="C367" t="n">
        <v>1</v>
      </c>
      <c r="D367" t="n">
        <v>1</v>
      </c>
      <c r="E367" t="s">
        <v>378</v>
      </c>
      <c r="F367" t="s"/>
      <c r="G367" t="s"/>
      <c r="H367" t="s"/>
      <c r="I367" t="s"/>
      <c r="J367" t="n">
        <v>-0.5696</v>
      </c>
      <c r="K367" t="n">
        <v>0.156</v>
      </c>
      <c r="L367" t="n">
        <v>0.844</v>
      </c>
      <c r="M367" t="n">
        <v>0</v>
      </c>
    </row>
    <row r="368" spans="1:13">
      <c r="A368" s="1">
        <f>HYPERLINK("http://www.twitter.com/NathanBLawrence/status/990003349402587136", "990003349402587136")</f>
        <v/>
      </c>
      <c r="B368" s="2" t="n">
        <v>43217.96025462963</v>
      </c>
      <c r="C368" t="n">
        <v>1</v>
      </c>
      <c r="D368" t="n">
        <v>0</v>
      </c>
      <c r="E368" t="s">
        <v>379</v>
      </c>
      <c r="F368" t="s"/>
      <c r="G368" t="s"/>
      <c r="H368" t="s"/>
      <c r="I368" t="s"/>
      <c r="J368" t="n">
        <v>0.466</v>
      </c>
      <c r="K368" t="n">
        <v>0</v>
      </c>
      <c r="L368" t="n">
        <v>0.725</v>
      </c>
      <c r="M368" t="n">
        <v>0.275</v>
      </c>
    </row>
    <row r="369" spans="1:13">
      <c r="A369" s="1">
        <f>HYPERLINK("http://www.twitter.com/NathanBLawrence/status/989973581886115840", "989973581886115840")</f>
        <v/>
      </c>
      <c r="B369" s="2" t="n">
        <v>43217.87811342593</v>
      </c>
      <c r="C369" t="n">
        <v>0</v>
      </c>
      <c r="D369" t="n">
        <v>0</v>
      </c>
      <c r="E369" t="s">
        <v>380</v>
      </c>
      <c r="F369" t="s"/>
      <c r="G369" t="s"/>
      <c r="H369" t="s"/>
      <c r="I369" t="s"/>
      <c r="J369" t="n">
        <v>0</v>
      </c>
      <c r="K369" t="n">
        <v>0</v>
      </c>
      <c r="L369" t="n">
        <v>1</v>
      </c>
      <c r="M369" t="n">
        <v>0</v>
      </c>
    </row>
    <row r="370" spans="1:13">
      <c r="A370" s="1">
        <f>HYPERLINK("http://www.twitter.com/NathanBLawrence/status/989921686131761152", "989921686131761152")</f>
        <v/>
      </c>
      <c r="B370" s="2" t="n">
        <v>43217.73490740741</v>
      </c>
      <c r="C370" t="n">
        <v>0</v>
      </c>
      <c r="D370" t="n">
        <v>0</v>
      </c>
      <c r="E370" t="s">
        <v>381</v>
      </c>
      <c r="F370" t="s"/>
      <c r="G370" t="s"/>
      <c r="H370" t="s"/>
      <c r="I370" t="s"/>
      <c r="J370" t="n">
        <v>0</v>
      </c>
      <c r="K370" t="n">
        <v>0</v>
      </c>
      <c r="L370" t="n">
        <v>1</v>
      </c>
      <c r="M370" t="n">
        <v>0</v>
      </c>
    </row>
    <row r="371" spans="1:13">
      <c r="A371" s="1">
        <f>HYPERLINK("http://www.twitter.com/NathanBLawrence/status/989861102094835712", "989861102094835712")</f>
        <v/>
      </c>
      <c r="B371" s="2" t="n">
        <v>43217.56773148148</v>
      </c>
      <c r="C371" t="n">
        <v>0</v>
      </c>
      <c r="D371" t="n">
        <v>1</v>
      </c>
      <c r="E371" t="s">
        <v>382</v>
      </c>
      <c r="F371">
        <f>HYPERLINK("http://pbs.twimg.com/media/Dbyw5fZX4AAj2Hn.jpg", "http://pbs.twimg.com/media/Dbyw5fZX4AAj2Hn.jpg")</f>
        <v/>
      </c>
      <c r="G371" t="s"/>
      <c r="H371" t="s"/>
      <c r="I371" t="s"/>
      <c r="J371" t="n">
        <v>0</v>
      </c>
      <c r="K371" t="n">
        <v>0</v>
      </c>
      <c r="L371" t="n">
        <v>1</v>
      </c>
      <c r="M371" t="n">
        <v>0</v>
      </c>
    </row>
    <row r="372" spans="1:13">
      <c r="A372" s="1">
        <f>HYPERLINK("http://www.twitter.com/NathanBLawrence/status/989829987766333440", "989829987766333440")</f>
        <v/>
      </c>
      <c r="B372" s="2" t="n">
        <v>43217.48186342593</v>
      </c>
      <c r="C372" t="n">
        <v>0</v>
      </c>
      <c r="D372" t="n">
        <v>0</v>
      </c>
      <c r="E372" t="s">
        <v>383</v>
      </c>
      <c r="F372" t="s"/>
      <c r="G372" t="s"/>
      <c r="H372" t="s"/>
      <c r="I372" t="s"/>
      <c r="J372" t="n">
        <v>0</v>
      </c>
      <c r="K372" t="n">
        <v>0</v>
      </c>
      <c r="L372" t="n">
        <v>1</v>
      </c>
      <c r="M372" t="n">
        <v>0</v>
      </c>
    </row>
    <row r="373" spans="1:13">
      <c r="A373" s="1">
        <f>HYPERLINK("http://www.twitter.com/NathanBLawrence/status/989828784596684800", "989828784596684800")</f>
        <v/>
      </c>
      <c r="B373" s="2" t="n">
        <v>43217.47855324074</v>
      </c>
      <c r="C373" t="n">
        <v>0</v>
      </c>
      <c r="D373" t="n">
        <v>0</v>
      </c>
      <c r="E373" t="s">
        <v>384</v>
      </c>
      <c r="F373" t="s"/>
      <c r="G373" t="s"/>
      <c r="H373" t="s"/>
      <c r="I373" t="s"/>
      <c r="J373" t="n">
        <v>0</v>
      </c>
      <c r="K373" t="n">
        <v>0</v>
      </c>
      <c r="L373" t="n">
        <v>1</v>
      </c>
      <c r="M373" t="n">
        <v>0</v>
      </c>
    </row>
    <row r="374" spans="1:13">
      <c r="A374" s="1">
        <f>HYPERLINK("http://www.twitter.com/NathanBLawrence/status/989608056718848000", "989608056718848000")</f>
        <v/>
      </c>
      <c r="B374" s="2" t="n">
        <v>43216.86945601852</v>
      </c>
      <c r="C374" t="n">
        <v>0</v>
      </c>
      <c r="D374" t="n">
        <v>16</v>
      </c>
      <c r="E374" t="s">
        <v>385</v>
      </c>
      <c r="F374" t="s"/>
      <c r="G374" t="s"/>
      <c r="H374" t="s"/>
      <c r="I374" t="s"/>
      <c r="J374" t="n">
        <v>-0.8481</v>
      </c>
      <c r="K374" t="n">
        <v>0.305</v>
      </c>
      <c r="L374" t="n">
        <v>0.695</v>
      </c>
      <c r="M374" t="n">
        <v>0</v>
      </c>
    </row>
    <row r="375" spans="1:13">
      <c r="A375" s="1">
        <f>HYPERLINK("http://www.twitter.com/NathanBLawrence/status/989603618385989632", "989603618385989632")</f>
        <v/>
      </c>
      <c r="B375" s="2" t="n">
        <v>43216.85721064815</v>
      </c>
      <c r="C375" t="n">
        <v>1</v>
      </c>
      <c r="D375" t="n">
        <v>0</v>
      </c>
      <c r="E375" t="s">
        <v>386</v>
      </c>
      <c r="F375" t="s"/>
      <c r="G375" t="s"/>
      <c r="H375" t="s"/>
      <c r="I375" t="s"/>
      <c r="J375" t="n">
        <v>0</v>
      </c>
      <c r="K375" t="n">
        <v>0</v>
      </c>
      <c r="L375" t="n">
        <v>1</v>
      </c>
      <c r="M375" t="n">
        <v>0</v>
      </c>
    </row>
    <row r="376" spans="1:13">
      <c r="A376" s="1">
        <f>HYPERLINK("http://www.twitter.com/NathanBLawrence/status/989603372088070144", "989603372088070144")</f>
        <v/>
      </c>
      <c r="B376" s="2" t="n">
        <v>43216.85652777777</v>
      </c>
      <c r="C376" t="n">
        <v>5</v>
      </c>
      <c r="D376" t="n">
        <v>3</v>
      </c>
      <c r="E376" t="s">
        <v>387</v>
      </c>
      <c r="F376" t="s"/>
      <c r="G376" t="s"/>
      <c r="H376" t="s"/>
      <c r="I376" t="s"/>
      <c r="J376" t="n">
        <v>-0.5423</v>
      </c>
      <c r="K376" t="n">
        <v>0.171</v>
      </c>
      <c r="L376" t="n">
        <v>0.829</v>
      </c>
      <c r="M376" t="n">
        <v>0</v>
      </c>
    </row>
    <row r="377" spans="1:13">
      <c r="A377" s="1">
        <f>HYPERLINK("http://www.twitter.com/NathanBLawrence/status/989513485603262464", "989513485603262464")</f>
        <v/>
      </c>
      <c r="B377" s="2" t="n">
        <v>43216.6084837963</v>
      </c>
      <c r="C377" t="n">
        <v>0</v>
      </c>
      <c r="D377" t="n">
        <v>0</v>
      </c>
      <c r="E377" t="s">
        <v>388</v>
      </c>
      <c r="F377" t="s"/>
      <c r="G377" t="s"/>
      <c r="H377" t="s"/>
      <c r="I377" t="s"/>
      <c r="J377" t="n">
        <v>0</v>
      </c>
      <c r="K377" t="n">
        <v>0</v>
      </c>
      <c r="L377" t="n">
        <v>1</v>
      </c>
      <c r="M377" t="n">
        <v>0</v>
      </c>
    </row>
    <row r="378" spans="1:13">
      <c r="A378" s="1">
        <f>HYPERLINK("http://www.twitter.com/NathanBLawrence/status/989353609560289282", "989353609560289282")</f>
        <v/>
      </c>
      <c r="B378" s="2" t="n">
        <v>43216.16731481482</v>
      </c>
      <c r="C378" t="n">
        <v>1</v>
      </c>
      <c r="D378" t="n">
        <v>0</v>
      </c>
      <c r="E378" t="s">
        <v>389</v>
      </c>
      <c r="F378" t="s"/>
      <c r="G378" t="s"/>
      <c r="H378" t="s"/>
      <c r="I378" t="s"/>
      <c r="J378" t="n">
        <v>0</v>
      </c>
      <c r="K378" t="n">
        <v>0</v>
      </c>
      <c r="L378" t="n">
        <v>1</v>
      </c>
      <c r="M378" t="n">
        <v>0</v>
      </c>
    </row>
    <row r="379" spans="1:13">
      <c r="A379" s="1">
        <f>HYPERLINK("http://www.twitter.com/NathanBLawrence/status/989350807840722947", "989350807840722947")</f>
        <v/>
      </c>
      <c r="B379" s="2" t="n">
        <v>43216.15958333333</v>
      </c>
      <c r="C379" t="n">
        <v>2</v>
      </c>
      <c r="D379" t="n">
        <v>0</v>
      </c>
      <c r="E379" t="s">
        <v>390</v>
      </c>
      <c r="F379" t="s"/>
      <c r="G379" t="s"/>
      <c r="H379" t="s"/>
      <c r="I379" t="s"/>
      <c r="J379" t="n">
        <v>0.743</v>
      </c>
      <c r="K379" t="n">
        <v>0.121</v>
      </c>
      <c r="L379" t="n">
        <v>0.498</v>
      </c>
      <c r="M379" t="n">
        <v>0.381</v>
      </c>
    </row>
    <row r="380" spans="1:13">
      <c r="A380" s="1">
        <f>HYPERLINK("http://www.twitter.com/NathanBLawrence/status/989328843482771458", "989328843482771458")</f>
        <v/>
      </c>
      <c r="B380" s="2" t="n">
        <v>43216.09896990741</v>
      </c>
      <c r="C380" t="n">
        <v>1</v>
      </c>
      <c r="D380" t="n">
        <v>0</v>
      </c>
      <c r="E380" t="s">
        <v>391</v>
      </c>
      <c r="F380" t="s"/>
      <c r="G380" t="s"/>
      <c r="H380" t="s"/>
      <c r="I380" t="s"/>
      <c r="J380" t="n">
        <v>-0.296</v>
      </c>
      <c r="K380" t="n">
        <v>0.524</v>
      </c>
      <c r="L380" t="n">
        <v>0.476</v>
      </c>
      <c r="M380" t="n">
        <v>0</v>
      </c>
    </row>
    <row r="381" spans="1:13">
      <c r="A381" s="1">
        <f>HYPERLINK("http://www.twitter.com/NathanBLawrence/status/989323235018838016", "989323235018838016")</f>
        <v/>
      </c>
      <c r="B381" s="2" t="n">
        <v>43216.08349537037</v>
      </c>
      <c r="C381" t="n">
        <v>0</v>
      </c>
      <c r="D381" t="n">
        <v>0</v>
      </c>
      <c r="E381" t="s">
        <v>392</v>
      </c>
      <c r="F381" t="s"/>
      <c r="G381" t="s"/>
      <c r="H381" t="s"/>
      <c r="I381" t="s"/>
      <c r="J381" t="n">
        <v>0</v>
      </c>
      <c r="K381" t="n">
        <v>0</v>
      </c>
      <c r="L381" t="n">
        <v>1</v>
      </c>
      <c r="M381" t="n">
        <v>0</v>
      </c>
    </row>
    <row r="382" spans="1:13">
      <c r="A382" s="1">
        <f>HYPERLINK("http://www.twitter.com/NathanBLawrence/status/989322786702266369", "989322786702266369")</f>
        <v/>
      </c>
      <c r="B382" s="2" t="n">
        <v>43216.08225694444</v>
      </c>
      <c r="C382" t="n">
        <v>2</v>
      </c>
      <c r="D382" t="n">
        <v>0</v>
      </c>
      <c r="E382" t="s">
        <v>393</v>
      </c>
      <c r="F382" t="s"/>
      <c r="G382" t="s"/>
      <c r="H382" t="s"/>
      <c r="I382" t="s"/>
      <c r="J382" t="n">
        <v>0.6371</v>
      </c>
      <c r="K382" t="n">
        <v>0</v>
      </c>
      <c r="L382" t="n">
        <v>0.741</v>
      </c>
      <c r="M382" t="n">
        <v>0.259</v>
      </c>
    </row>
    <row r="383" spans="1:13">
      <c r="A383" s="1">
        <f>HYPERLINK("http://www.twitter.com/NathanBLawrence/status/989315322489470976", "989315322489470976")</f>
        <v/>
      </c>
      <c r="B383" s="2" t="n">
        <v>43216.06166666667</v>
      </c>
      <c r="C383" t="n">
        <v>0</v>
      </c>
      <c r="D383" t="n">
        <v>0</v>
      </c>
      <c r="E383" t="s">
        <v>394</v>
      </c>
      <c r="F383" t="s"/>
      <c r="G383" t="s"/>
      <c r="H383" t="s"/>
      <c r="I383" t="s"/>
      <c r="J383" t="n">
        <v>0.8614000000000001</v>
      </c>
      <c r="K383" t="n">
        <v>0</v>
      </c>
      <c r="L383" t="n">
        <v>0.318</v>
      </c>
      <c r="M383" t="n">
        <v>0.6820000000000001</v>
      </c>
    </row>
    <row r="384" spans="1:13">
      <c r="A384" s="1">
        <f>HYPERLINK("http://www.twitter.com/NathanBLawrence/status/989312349109735424", "989312349109735424")</f>
        <v/>
      </c>
      <c r="B384" s="2" t="n">
        <v>43216.05346064815</v>
      </c>
      <c r="C384" t="n">
        <v>4</v>
      </c>
      <c r="D384" t="n">
        <v>0</v>
      </c>
      <c r="E384" t="s">
        <v>395</v>
      </c>
      <c r="F384" t="s"/>
      <c r="G384" t="s"/>
      <c r="H384" t="s"/>
      <c r="I384" t="s"/>
      <c r="J384" t="n">
        <v>0.4019</v>
      </c>
      <c r="K384" t="n">
        <v>0</v>
      </c>
      <c r="L384" t="n">
        <v>0.899</v>
      </c>
      <c r="M384" t="n">
        <v>0.101</v>
      </c>
    </row>
    <row r="385" spans="1:13">
      <c r="A385" s="1">
        <f>HYPERLINK("http://www.twitter.com/NathanBLawrence/status/989311430334799872", "989311430334799872")</f>
        <v/>
      </c>
      <c r="B385" s="2" t="n">
        <v>43216.05092592593</v>
      </c>
      <c r="C385" t="n">
        <v>0</v>
      </c>
      <c r="D385" t="n">
        <v>0</v>
      </c>
      <c r="E385" t="s">
        <v>396</v>
      </c>
      <c r="F385" t="s"/>
      <c r="G385" t="s"/>
      <c r="H385" t="s"/>
      <c r="I385" t="s"/>
      <c r="J385" t="n">
        <v>0.5994</v>
      </c>
      <c r="K385" t="n">
        <v>0</v>
      </c>
      <c r="L385" t="n">
        <v>0.726</v>
      </c>
      <c r="M385" t="n">
        <v>0.274</v>
      </c>
    </row>
    <row r="386" spans="1:13">
      <c r="A386" s="1">
        <f>HYPERLINK("http://www.twitter.com/NathanBLawrence/status/989307092564627456", "989307092564627456")</f>
        <v/>
      </c>
      <c r="B386" s="2" t="n">
        <v>43216.03894675926</v>
      </c>
      <c r="C386" t="n">
        <v>0</v>
      </c>
      <c r="D386" t="n">
        <v>1523</v>
      </c>
      <c r="E386" t="s">
        <v>397</v>
      </c>
      <c r="F386">
        <f>HYPERLINK("http://pbs.twimg.com/media/Dbqf16wW0AEh36W.jpg", "http://pbs.twimg.com/media/Dbqf16wW0AEh36W.jpg")</f>
        <v/>
      </c>
      <c r="G386" t="s"/>
      <c r="H386" t="s"/>
      <c r="I386" t="s"/>
      <c r="J386" t="n">
        <v>0.7845</v>
      </c>
      <c r="K386" t="n">
        <v>0</v>
      </c>
      <c r="L386" t="n">
        <v>0.655</v>
      </c>
      <c r="M386" t="n">
        <v>0.345</v>
      </c>
    </row>
    <row r="387" spans="1:13">
      <c r="A387" s="1">
        <f>HYPERLINK("http://www.twitter.com/NathanBLawrence/status/989181275264217089", "989181275264217089")</f>
        <v/>
      </c>
      <c r="B387" s="2" t="n">
        <v>43215.69175925926</v>
      </c>
      <c r="C387" t="n">
        <v>1</v>
      </c>
      <c r="D387" t="n">
        <v>0</v>
      </c>
      <c r="E387" t="s">
        <v>398</v>
      </c>
      <c r="F387" t="s"/>
      <c r="G387" t="s"/>
      <c r="H387" t="s"/>
      <c r="I387" t="s"/>
      <c r="J387" t="n">
        <v>0</v>
      </c>
      <c r="K387" t="n">
        <v>0</v>
      </c>
      <c r="L387" t="n">
        <v>1</v>
      </c>
      <c r="M387" t="n">
        <v>0</v>
      </c>
    </row>
    <row r="388" spans="1:13">
      <c r="A388" s="1">
        <f>HYPERLINK("http://www.twitter.com/NathanBLawrence/status/989176712830357506", "989176712830357506")</f>
        <v/>
      </c>
      <c r="B388" s="2" t="n">
        <v>43215.67917824074</v>
      </c>
      <c r="C388" t="n">
        <v>1</v>
      </c>
      <c r="D388" t="n">
        <v>0</v>
      </c>
      <c r="E388" t="s">
        <v>399</v>
      </c>
      <c r="F388" t="s"/>
      <c r="G388" t="s"/>
      <c r="H388" t="s"/>
      <c r="I388" t="s"/>
      <c r="J388" t="n">
        <v>-0.4404</v>
      </c>
      <c r="K388" t="n">
        <v>0.195</v>
      </c>
      <c r="L388" t="n">
        <v>0.805</v>
      </c>
      <c r="M388" t="n">
        <v>0</v>
      </c>
    </row>
    <row r="389" spans="1:13">
      <c r="A389" s="1">
        <f>HYPERLINK("http://www.twitter.com/NathanBLawrence/status/989145634988068864", "989145634988068864")</f>
        <v/>
      </c>
      <c r="B389" s="2" t="n">
        <v>43215.59341435185</v>
      </c>
      <c r="C389" t="n">
        <v>1</v>
      </c>
      <c r="D389" t="n">
        <v>1</v>
      </c>
      <c r="E389" t="s">
        <v>400</v>
      </c>
      <c r="F389" t="s"/>
      <c r="G389" t="s"/>
      <c r="H389" t="s"/>
      <c r="I389" t="s"/>
      <c r="J389" t="n">
        <v>-0.3612</v>
      </c>
      <c r="K389" t="n">
        <v>0.152</v>
      </c>
      <c r="L389" t="n">
        <v>0.848</v>
      </c>
      <c r="M389" t="n">
        <v>0</v>
      </c>
    </row>
    <row r="390" spans="1:13">
      <c r="A390" s="1">
        <f>HYPERLINK("http://www.twitter.com/NathanBLawrence/status/989144492996530176", "989144492996530176")</f>
        <v/>
      </c>
      <c r="B390" s="2" t="n">
        <v>43215.5902662037</v>
      </c>
      <c r="C390" t="n">
        <v>6</v>
      </c>
      <c r="D390" t="n">
        <v>2</v>
      </c>
      <c r="E390" t="s">
        <v>401</v>
      </c>
      <c r="F390" t="s"/>
      <c r="G390" t="s"/>
      <c r="H390" t="s"/>
      <c r="I390" t="s"/>
      <c r="J390" t="n">
        <v>-0.3818</v>
      </c>
      <c r="K390" t="n">
        <v>0.091</v>
      </c>
      <c r="L390" t="n">
        <v>0.909</v>
      </c>
      <c r="M390" t="n">
        <v>0</v>
      </c>
    </row>
    <row r="391" spans="1:13">
      <c r="A391" s="1">
        <f>HYPERLINK("http://www.twitter.com/NathanBLawrence/status/989139418631081984", "989139418631081984")</f>
        <v/>
      </c>
      <c r="B391" s="2" t="n">
        <v>43215.57626157408</v>
      </c>
      <c r="C391" t="n">
        <v>0</v>
      </c>
      <c r="D391" t="n">
        <v>0</v>
      </c>
      <c r="E391" t="s">
        <v>402</v>
      </c>
      <c r="F391" t="s"/>
      <c r="G391" t="s"/>
      <c r="H391" t="s"/>
      <c r="I391" t="s"/>
      <c r="J391" t="n">
        <v>0.4449</v>
      </c>
      <c r="K391" t="n">
        <v>0</v>
      </c>
      <c r="L391" t="n">
        <v>0.79</v>
      </c>
      <c r="M391" t="n">
        <v>0.21</v>
      </c>
    </row>
    <row r="392" spans="1:13">
      <c r="A392" s="1">
        <f>HYPERLINK("http://www.twitter.com/NathanBLawrence/status/989138919387205632", "989138919387205632")</f>
        <v/>
      </c>
      <c r="B392" s="2" t="n">
        <v>43215.57488425926</v>
      </c>
      <c r="C392" t="n">
        <v>0</v>
      </c>
      <c r="D392" t="n">
        <v>1</v>
      </c>
      <c r="E392" t="s">
        <v>403</v>
      </c>
      <c r="F392" t="s"/>
      <c r="G392" t="s"/>
      <c r="H392" t="s"/>
      <c r="I392" t="s"/>
      <c r="J392" t="n">
        <v>0.5095</v>
      </c>
      <c r="K392" t="n">
        <v>0</v>
      </c>
      <c r="L392" t="n">
        <v>0.829</v>
      </c>
      <c r="M392" t="n">
        <v>0.171</v>
      </c>
    </row>
    <row r="393" spans="1:13">
      <c r="A393" s="1">
        <f>HYPERLINK("http://www.twitter.com/NathanBLawrence/status/989119636347203584", "989119636347203584")</f>
        <v/>
      </c>
      <c r="B393" s="2" t="n">
        <v>43215.52166666667</v>
      </c>
      <c r="C393" t="n">
        <v>1</v>
      </c>
      <c r="D393" t="n">
        <v>0</v>
      </c>
      <c r="E393" t="s">
        <v>404</v>
      </c>
      <c r="F393" t="s"/>
      <c r="G393" t="s"/>
      <c r="H393" t="s"/>
      <c r="I393" t="s"/>
      <c r="J393" t="n">
        <v>0</v>
      </c>
      <c r="K393" t="n">
        <v>0</v>
      </c>
      <c r="L393" t="n">
        <v>1</v>
      </c>
      <c r="M393" t="n">
        <v>0</v>
      </c>
    </row>
    <row r="394" spans="1:13">
      <c r="A394" s="1">
        <f>HYPERLINK("http://www.twitter.com/NathanBLawrence/status/988973641932173312", "988973641932173312")</f>
        <v/>
      </c>
      <c r="B394" s="2" t="n">
        <v>43215.11880787037</v>
      </c>
      <c r="C394" t="n">
        <v>1</v>
      </c>
      <c r="D394" t="n">
        <v>0</v>
      </c>
      <c r="E394" t="s">
        <v>405</v>
      </c>
      <c r="F394" t="s"/>
      <c r="G394" t="s"/>
      <c r="H394" t="s"/>
      <c r="I394" t="s"/>
      <c r="J394" t="n">
        <v>0.8439</v>
      </c>
      <c r="K394" t="n">
        <v>0</v>
      </c>
      <c r="L394" t="n">
        <v>0.435</v>
      </c>
      <c r="M394" t="n">
        <v>0.5649999999999999</v>
      </c>
    </row>
    <row r="395" spans="1:13">
      <c r="A395" s="1">
        <f>HYPERLINK("http://www.twitter.com/NathanBLawrence/status/988961706993963008", "988961706993963008")</f>
        <v/>
      </c>
      <c r="B395" s="2" t="n">
        <v>43215.08586805555</v>
      </c>
      <c r="C395" t="n">
        <v>0</v>
      </c>
      <c r="D395" t="n">
        <v>0</v>
      </c>
      <c r="E395" t="s">
        <v>406</v>
      </c>
      <c r="F395" t="s"/>
      <c r="G395" t="s"/>
      <c r="H395" t="s"/>
      <c r="I395" t="s"/>
      <c r="J395" t="n">
        <v>0</v>
      </c>
      <c r="K395" t="n">
        <v>0</v>
      </c>
      <c r="L395" t="n">
        <v>1</v>
      </c>
      <c r="M395" t="n">
        <v>0</v>
      </c>
    </row>
    <row r="396" spans="1:13">
      <c r="A396" s="1">
        <f>HYPERLINK("http://www.twitter.com/NathanBLawrence/status/988851665129394177", "988851665129394177")</f>
        <v/>
      </c>
      <c r="B396" s="2" t="n">
        <v>43214.78221064815</v>
      </c>
      <c r="C396" t="n">
        <v>1</v>
      </c>
      <c r="D396" t="n">
        <v>1</v>
      </c>
      <c r="E396" t="s">
        <v>407</v>
      </c>
      <c r="F396" t="s"/>
      <c r="G396" t="s"/>
      <c r="H396" t="s"/>
      <c r="I396" t="s"/>
      <c r="J396" t="n">
        <v>0.7059</v>
      </c>
      <c r="K396" t="n">
        <v>0.051</v>
      </c>
      <c r="L396" t="n">
        <v>0.771</v>
      </c>
      <c r="M396" t="n">
        <v>0.177</v>
      </c>
    </row>
    <row r="397" spans="1:13">
      <c r="A397" s="1">
        <f>HYPERLINK("http://www.twitter.com/NathanBLawrence/status/988847855224967175", "988847855224967175")</f>
        <v/>
      </c>
      <c r="B397" s="2" t="n">
        <v>43214.77170138889</v>
      </c>
      <c r="C397" t="n">
        <v>0</v>
      </c>
      <c r="D397" t="n">
        <v>0</v>
      </c>
      <c r="E397" t="s">
        <v>408</v>
      </c>
      <c r="F397" t="s"/>
      <c r="G397" t="s"/>
      <c r="H397" t="s"/>
      <c r="I397" t="s"/>
      <c r="J397" t="n">
        <v>0.0258</v>
      </c>
      <c r="K397" t="n">
        <v>0</v>
      </c>
      <c r="L397" t="n">
        <v>0.922</v>
      </c>
      <c r="M397" t="n">
        <v>0.078</v>
      </c>
    </row>
    <row r="398" spans="1:13">
      <c r="A398" s="1">
        <f>HYPERLINK("http://www.twitter.com/NathanBLawrence/status/988847692985008129", "988847692985008129")</f>
        <v/>
      </c>
      <c r="B398" s="2" t="n">
        <v>43214.77125</v>
      </c>
      <c r="C398" t="n">
        <v>0</v>
      </c>
      <c r="D398" t="n">
        <v>0</v>
      </c>
      <c r="E398" t="s">
        <v>409</v>
      </c>
      <c r="F398" t="s"/>
      <c r="G398" t="s"/>
      <c r="H398" t="s"/>
      <c r="I398" t="s"/>
      <c r="J398" t="n">
        <v>0.34</v>
      </c>
      <c r="K398" t="n">
        <v>0</v>
      </c>
      <c r="L398" t="n">
        <v>0.556</v>
      </c>
      <c r="M398" t="n">
        <v>0.444</v>
      </c>
    </row>
    <row r="399" spans="1:13">
      <c r="A399" s="1">
        <f>HYPERLINK("http://www.twitter.com/NathanBLawrence/status/988841857835847681", "988841857835847681")</f>
        <v/>
      </c>
      <c r="B399" s="2" t="n">
        <v>43214.75515046297</v>
      </c>
      <c r="C399" t="n">
        <v>1</v>
      </c>
      <c r="D399" t="n">
        <v>1</v>
      </c>
      <c r="E399" t="s">
        <v>410</v>
      </c>
      <c r="F399" t="s"/>
      <c r="G399" t="s"/>
      <c r="H399" t="s"/>
      <c r="I399" t="s"/>
      <c r="J399" t="n">
        <v>0</v>
      </c>
      <c r="K399" t="n">
        <v>0</v>
      </c>
      <c r="L399" t="n">
        <v>1</v>
      </c>
      <c r="M399" t="n">
        <v>0</v>
      </c>
    </row>
    <row r="400" spans="1:13">
      <c r="A400" s="1">
        <f>HYPERLINK("http://www.twitter.com/NathanBLawrence/status/988772259723644929", "988772259723644929")</f>
        <v/>
      </c>
      <c r="B400" s="2" t="n">
        <v>43214.56309027778</v>
      </c>
      <c r="C400" t="n">
        <v>0</v>
      </c>
      <c r="D400" t="n">
        <v>1</v>
      </c>
      <c r="E400" t="s">
        <v>411</v>
      </c>
      <c r="F400" t="s"/>
      <c r="G400" t="s"/>
      <c r="H400" t="s"/>
      <c r="I400" t="s"/>
      <c r="J400" t="n">
        <v>0</v>
      </c>
      <c r="K400" t="n">
        <v>0</v>
      </c>
      <c r="L400" t="n">
        <v>1</v>
      </c>
      <c r="M400" t="n">
        <v>0</v>
      </c>
    </row>
    <row r="401" spans="1:13">
      <c r="A401" s="1">
        <f>HYPERLINK("http://www.twitter.com/NathanBLawrence/status/988616712001130497", "988616712001130497")</f>
        <v/>
      </c>
      <c r="B401" s="2" t="n">
        <v>43214.13386574074</v>
      </c>
      <c r="C401" t="n">
        <v>0</v>
      </c>
      <c r="D401" t="n">
        <v>0</v>
      </c>
      <c r="E401" t="s">
        <v>412</v>
      </c>
      <c r="F401" t="s"/>
      <c r="G401" t="s"/>
      <c r="H401" t="s"/>
      <c r="I401" t="s"/>
      <c r="J401" t="n">
        <v>0</v>
      </c>
      <c r="K401" t="n">
        <v>0</v>
      </c>
      <c r="L401" t="n">
        <v>1</v>
      </c>
      <c r="M401" t="n">
        <v>0</v>
      </c>
    </row>
    <row r="402" spans="1:13">
      <c r="A402" s="1">
        <f>HYPERLINK("http://www.twitter.com/NathanBLawrence/status/988614386003660800", "988614386003660800")</f>
        <v/>
      </c>
      <c r="B402" s="2" t="n">
        <v>43214.12744212963</v>
      </c>
      <c r="C402" t="n">
        <v>1</v>
      </c>
      <c r="D402" t="n">
        <v>1</v>
      </c>
      <c r="E402" t="s">
        <v>413</v>
      </c>
      <c r="F402" t="s"/>
      <c r="G402" t="s"/>
      <c r="H402" t="s"/>
      <c r="I402" t="s"/>
      <c r="J402" t="n">
        <v>-0.5362</v>
      </c>
      <c r="K402" t="n">
        <v>0.178</v>
      </c>
      <c r="L402" t="n">
        <v>0.822</v>
      </c>
      <c r="M402" t="n">
        <v>0</v>
      </c>
    </row>
    <row r="403" spans="1:13">
      <c r="A403" s="1">
        <f>HYPERLINK("http://www.twitter.com/NathanBLawrence/status/988612773230907392", "988612773230907392")</f>
        <v/>
      </c>
      <c r="B403" s="2" t="n">
        <v>43214.12299768518</v>
      </c>
      <c r="C403" t="n">
        <v>0</v>
      </c>
      <c r="D403" t="n">
        <v>0</v>
      </c>
      <c r="E403" t="s">
        <v>414</v>
      </c>
      <c r="F403" t="s"/>
      <c r="G403" t="s"/>
      <c r="H403" t="s"/>
      <c r="I403" t="s"/>
      <c r="J403" t="n">
        <v>-0.1027</v>
      </c>
      <c r="K403" t="n">
        <v>0.123</v>
      </c>
      <c r="L403" t="n">
        <v>0.877</v>
      </c>
      <c r="M403" t="n">
        <v>0</v>
      </c>
    </row>
    <row r="404" spans="1:13">
      <c r="A404" s="1">
        <f>HYPERLINK("http://www.twitter.com/NathanBLawrence/status/988610599889391616", "988610599889391616")</f>
        <v/>
      </c>
      <c r="B404" s="2" t="n">
        <v>43214.11700231482</v>
      </c>
      <c r="C404" t="n">
        <v>0</v>
      </c>
      <c r="D404" t="n">
        <v>0</v>
      </c>
      <c r="E404" t="s">
        <v>415</v>
      </c>
      <c r="F404" t="s"/>
      <c r="G404" t="s"/>
      <c r="H404" t="s"/>
      <c r="I404" t="s"/>
      <c r="J404" t="n">
        <v>-0.2263</v>
      </c>
      <c r="K404" t="n">
        <v>0.258</v>
      </c>
      <c r="L404" t="n">
        <v>0.585</v>
      </c>
      <c r="M404" t="n">
        <v>0.157</v>
      </c>
    </row>
    <row r="405" spans="1:13">
      <c r="A405" s="1">
        <f>HYPERLINK("http://www.twitter.com/NathanBLawrence/status/988573466239688704", "988573466239688704")</f>
        <v/>
      </c>
      <c r="B405" s="2" t="n">
        <v>43214.01452546296</v>
      </c>
      <c r="C405" t="n">
        <v>1</v>
      </c>
      <c r="D405" t="n">
        <v>0</v>
      </c>
      <c r="E405" t="s">
        <v>416</v>
      </c>
      <c r="F405" t="s"/>
      <c r="G405" t="s"/>
      <c r="H405" t="s"/>
      <c r="I405" t="s"/>
      <c r="J405" t="n">
        <v>0.6369</v>
      </c>
      <c r="K405" t="n">
        <v>0</v>
      </c>
      <c r="L405" t="n">
        <v>0.488</v>
      </c>
      <c r="M405" t="n">
        <v>0.512</v>
      </c>
    </row>
    <row r="406" spans="1:13">
      <c r="A406" s="1">
        <f>HYPERLINK("http://www.twitter.com/NathanBLawrence/status/988563093713285121", "988563093713285121")</f>
        <v/>
      </c>
      <c r="B406" s="2" t="n">
        <v>43213.98590277778</v>
      </c>
      <c r="C406" t="n">
        <v>0</v>
      </c>
      <c r="D406" t="n">
        <v>18</v>
      </c>
      <c r="E406" t="s">
        <v>417</v>
      </c>
      <c r="F406" t="s"/>
      <c r="G406" t="s"/>
      <c r="H406" t="s"/>
      <c r="I406" t="s"/>
      <c r="J406" t="n">
        <v>0</v>
      </c>
      <c r="K406" t="n">
        <v>0</v>
      </c>
      <c r="L406" t="n">
        <v>1</v>
      </c>
      <c r="M406" t="n">
        <v>0</v>
      </c>
    </row>
    <row r="407" spans="1:13">
      <c r="A407" s="1">
        <f>HYPERLINK("http://www.twitter.com/NathanBLawrence/status/988562228067659776", "988562228067659776")</f>
        <v/>
      </c>
      <c r="B407" s="2" t="n">
        <v>43213.98351851852</v>
      </c>
      <c r="C407" t="n">
        <v>15</v>
      </c>
      <c r="D407" t="n">
        <v>9</v>
      </c>
      <c r="E407" t="s">
        <v>418</v>
      </c>
      <c r="F407" t="s"/>
      <c r="G407" t="s"/>
      <c r="H407" t="s"/>
      <c r="I407" t="s"/>
      <c r="J407" t="n">
        <v>0</v>
      </c>
      <c r="K407" t="n">
        <v>0</v>
      </c>
      <c r="L407" t="n">
        <v>1</v>
      </c>
      <c r="M407" t="n">
        <v>0</v>
      </c>
    </row>
    <row r="408" spans="1:13">
      <c r="A408" s="1">
        <f>HYPERLINK("http://www.twitter.com/NathanBLawrence/status/988455593252933633", "988455593252933633")</f>
        <v/>
      </c>
      <c r="B408" s="2" t="n">
        <v>43213.68925925926</v>
      </c>
      <c r="C408" t="n">
        <v>2</v>
      </c>
      <c r="D408" t="n">
        <v>1</v>
      </c>
      <c r="E408" t="s">
        <v>419</v>
      </c>
      <c r="F408" t="s"/>
      <c r="G408" t="s"/>
      <c r="H408" t="s"/>
      <c r="I408" t="s"/>
      <c r="J408" t="n">
        <v>0.6369</v>
      </c>
      <c r="K408" t="n">
        <v>0.08699999999999999</v>
      </c>
      <c r="L408" t="n">
        <v>0.625</v>
      </c>
      <c r="M408" t="n">
        <v>0.287</v>
      </c>
    </row>
    <row r="409" spans="1:13">
      <c r="A409" s="1">
        <f>HYPERLINK("http://www.twitter.com/NathanBLawrence/status/988395249075617794", "988395249075617794")</f>
        <v/>
      </c>
      <c r="B409" s="2" t="n">
        <v>43213.52274305555</v>
      </c>
      <c r="C409" t="n">
        <v>2</v>
      </c>
      <c r="D409" t="n">
        <v>0</v>
      </c>
      <c r="E409" t="s">
        <v>420</v>
      </c>
      <c r="F409" t="s"/>
      <c r="G409" t="s"/>
      <c r="H409" t="s"/>
      <c r="I409" t="s"/>
      <c r="J409" t="n">
        <v>0</v>
      </c>
      <c r="K409" t="n">
        <v>0</v>
      </c>
      <c r="L409" t="n">
        <v>1</v>
      </c>
      <c r="M409" t="n">
        <v>0</v>
      </c>
    </row>
    <row r="410" spans="1:13">
      <c r="A410" s="1">
        <f>HYPERLINK("http://www.twitter.com/NathanBLawrence/status/987902183344689152", "987902183344689152")</f>
        <v/>
      </c>
      <c r="B410" s="2" t="n">
        <v>43212.16214120371</v>
      </c>
      <c r="C410" t="n">
        <v>0</v>
      </c>
      <c r="D410" t="n">
        <v>25844</v>
      </c>
      <c r="E410" t="s">
        <v>421</v>
      </c>
      <c r="F410" t="s"/>
      <c r="G410" t="s"/>
      <c r="H410" t="s"/>
      <c r="I410" t="s"/>
      <c r="J410" t="n">
        <v>0.1022</v>
      </c>
      <c r="K410" t="n">
        <v>0.115</v>
      </c>
      <c r="L410" t="n">
        <v>0.752</v>
      </c>
      <c r="M410" t="n">
        <v>0.133</v>
      </c>
    </row>
    <row r="411" spans="1:13">
      <c r="A411" s="1">
        <f>HYPERLINK("http://www.twitter.com/NathanBLawrence/status/987861627428114433", "987861627428114433")</f>
        <v/>
      </c>
      <c r="B411" s="2" t="n">
        <v>43212.05023148148</v>
      </c>
      <c r="C411" t="n">
        <v>0</v>
      </c>
      <c r="D411" t="n">
        <v>0</v>
      </c>
      <c r="E411" t="s">
        <v>422</v>
      </c>
      <c r="F411" t="s"/>
      <c r="G411" t="s"/>
      <c r="H411" t="s"/>
      <c r="I411" t="s"/>
      <c r="J411" t="n">
        <v>0.5859</v>
      </c>
      <c r="K411" t="n">
        <v>0</v>
      </c>
      <c r="L411" t="n">
        <v>0.787</v>
      </c>
      <c r="M411" t="n">
        <v>0.213</v>
      </c>
    </row>
    <row r="412" spans="1:13">
      <c r="A412" s="1">
        <f>HYPERLINK("http://www.twitter.com/NathanBLawrence/status/987857367202189312", "987857367202189312")</f>
        <v/>
      </c>
      <c r="B412" s="2" t="n">
        <v>43212.03847222222</v>
      </c>
      <c r="C412" t="n">
        <v>0</v>
      </c>
      <c r="D412" t="n">
        <v>0</v>
      </c>
      <c r="E412" t="s">
        <v>423</v>
      </c>
      <c r="F412" t="s"/>
      <c r="G412" t="s"/>
      <c r="H412" t="s"/>
      <c r="I412" t="s"/>
      <c r="J412" t="n">
        <v>0</v>
      </c>
      <c r="K412" t="n">
        <v>0</v>
      </c>
      <c r="L412" t="n">
        <v>1</v>
      </c>
      <c r="M412" t="n">
        <v>0</v>
      </c>
    </row>
    <row r="413" spans="1:13">
      <c r="A413" s="1">
        <f>HYPERLINK("http://www.twitter.com/NathanBLawrence/status/987701446928891914", "987701446928891914")</f>
        <v/>
      </c>
      <c r="B413" s="2" t="n">
        <v>43211.60821759259</v>
      </c>
      <c r="C413" t="n">
        <v>0</v>
      </c>
      <c r="D413" t="n">
        <v>6</v>
      </c>
      <c r="E413" t="s">
        <v>424</v>
      </c>
      <c r="F413" t="s"/>
      <c r="G413" t="s"/>
      <c r="H413" t="s"/>
      <c r="I413" t="s"/>
      <c r="J413" t="n">
        <v>0</v>
      </c>
      <c r="K413" t="n">
        <v>0</v>
      </c>
      <c r="L413" t="n">
        <v>1</v>
      </c>
      <c r="M413" t="n">
        <v>0</v>
      </c>
    </row>
    <row r="414" spans="1:13">
      <c r="A414" s="1">
        <f>HYPERLINK("http://www.twitter.com/NathanBLawrence/status/987543258015391744", "987543258015391744")</f>
        <v/>
      </c>
      <c r="B414" s="2" t="n">
        <v>43211.17170138889</v>
      </c>
      <c r="C414" t="n">
        <v>1</v>
      </c>
      <c r="D414" t="n">
        <v>0</v>
      </c>
      <c r="E414" t="s">
        <v>425</v>
      </c>
      <c r="F414" t="s"/>
      <c r="G414" t="s"/>
      <c r="H414" t="s"/>
      <c r="I414" t="s"/>
      <c r="J414" t="n">
        <v>0</v>
      </c>
      <c r="K414" t="n">
        <v>0</v>
      </c>
      <c r="L414" t="n">
        <v>1</v>
      </c>
      <c r="M414" t="n">
        <v>0</v>
      </c>
    </row>
    <row r="415" spans="1:13">
      <c r="A415" s="1">
        <f>HYPERLINK("http://www.twitter.com/NathanBLawrence/status/987536174515478530", "987536174515478530")</f>
        <v/>
      </c>
      <c r="B415" s="2" t="n">
        <v>43211.15215277778</v>
      </c>
      <c r="C415" t="n">
        <v>0</v>
      </c>
      <c r="D415" t="n">
        <v>0</v>
      </c>
      <c r="E415" t="s">
        <v>426</v>
      </c>
      <c r="F415" t="s"/>
      <c r="G415" t="s"/>
      <c r="H415" t="s"/>
      <c r="I415" t="s"/>
      <c r="J415" t="n">
        <v>0</v>
      </c>
      <c r="K415" t="n">
        <v>0</v>
      </c>
      <c r="L415" t="n">
        <v>1</v>
      </c>
      <c r="M415" t="n">
        <v>0</v>
      </c>
    </row>
    <row r="416" spans="1:13">
      <c r="A416" s="1">
        <f>HYPERLINK("http://www.twitter.com/NathanBLawrence/status/987503353038036992", "987503353038036992")</f>
        <v/>
      </c>
      <c r="B416" s="2" t="n">
        <v>43211.06157407408</v>
      </c>
      <c r="C416" t="n">
        <v>13</v>
      </c>
      <c r="D416" t="n">
        <v>7</v>
      </c>
      <c r="E416" t="s">
        <v>427</v>
      </c>
      <c r="F416" t="s"/>
      <c r="G416" t="s"/>
      <c r="H416" t="s"/>
      <c r="I416" t="s"/>
      <c r="J416" t="n">
        <v>0</v>
      </c>
      <c r="K416" t="n">
        <v>0</v>
      </c>
      <c r="L416" t="n">
        <v>1</v>
      </c>
      <c r="M416" t="n">
        <v>0</v>
      </c>
    </row>
    <row r="417" spans="1:13">
      <c r="A417" s="1">
        <f>HYPERLINK("http://www.twitter.com/NathanBLawrence/status/987174445684060160", "987174445684060160")</f>
        <v/>
      </c>
      <c r="B417" s="2" t="n">
        <v>43210.15396990741</v>
      </c>
      <c r="C417" t="n">
        <v>0</v>
      </c>
      <c r="D417" t="n">
        <v>25416</v>
      </c>
      <c r="E417" t="s">
        <v>428</v>
      </c>
      <c r="F417" t="s"/>
      <c r="G417" t="s"/>
      <c r="H417" t="s"/>
      <c r="I417" t="s"/>
      <c r="J417" t="n">
        <v>-0.6669</v>
      </c>
      <c r="K417" t="n">
        <v>0.283</v>
      </c>
      <c r="L417" t="n">
        <v>0.624</v>
      </c>
      <c r="M417" t="n">
        <v>0.094</v>
      </c>
    </row>
    <row r="418" spans="1:13">
      <c r="A418" s="1">
        <f>HYPERLINK("http://www.twitter.com/NathanBLawrence/status/987173908695666688", "987173908695666688")</f>
        <v/>
      </c>
      <c r="B418" s="2" t="n">
        <v>43210.15248842593</v>
      </c>
      <c r="C418" t="n">
        <v>0</v>
      </c>
      <c r="D418" t="n">
        <v>0</v>
      </c>
      <c r="E418" t="s">
        <v>429</v>
      </c>
      <c r="F418" t="s"/>
      <c r="G418" t="s"/>
      <c r="H418" t="s"/>
      <c r="I418" t="s"/>
      <c r="J418" t="n">
        <v>0</v>
      </c>
      <c r="K418" t="n">
        <v>0</v>
      </c>
      <c r="L418" t="n">
        <v>1</v>
      </c>
      <c r="M418" t="n">
        <v>0</v>
      </c>
    </row>
    <row r="419" spans="1:13">
      <c r="A419" s="1">
        <f>HYPERLINK("http://www.twitter.com/NathanBLawrence/status/987173404682915840", "987173404682915840")</f>
        <v/>
      </c>
      <c r="B419" s="2" t="n">
        <v>43210.15109953703</v>
      </c>
      <c r="C419" t="n">
        <v>0</v>
      </c>
      <c r="D419" t="n">
        <v>0</v>
      </c>
      <c r="E419" t="s">
        <v>430</v>
      </c>
      <c r="F419" t="s"/>
      <c r="G419" t="s"/>
      <c r="H419" t="s"/>
      <c r="I419" t="s"/>
      <c r="J419" t="n">
        <v>-0.296</v>
      </c>
      <c r="K419" t="n">
        <v>0.355</v>
      </c>
      <c r="L419" t="n">
        <v>0.645</v>
      </c>
      <c r="M419" t="n">
        <v>0</v>
      </c>
    </row>
    <row r="420" spans="1:13">
      <c r="A420" s="1">
        <f>HYPERLINK("http://www.twitter.com/NathanBLawrence/status/987060749909544960", "987060749909544960")</f>
        <v/>
      </c>
      <c r="B420" s="2" t="n">
        <v>43209.84023148148</v>
      </c>
      <c r="C420" t="n">
        <v>0</v>
      </c>
      <c r="D420" t="n">
        <v>0</v>
      </c>
      <c r="E420" t="s">
        <v>431</v>
      </c>
      <c r="F420" t="s"/>
      <c r="G420" t="s"/>
      <c r="H420" t="s"/>
      <c r="I420" t="s"/>
      <c r="J420" t="n">
        <v>0</v>
      </c>
      <c r="K420" t="n">
        <v>0</v>
      </c>
      <c r="L420" t="n">
        <v>1</v>
      </c>
      <c r="M420" t="n">
        <v>0</v>
      </c>
    </row>
    <row r="421" spans="1:13">
      <c r="A421" s="1">
        <f>HYPERLINK("http://www.twitter.com/NathanBLawrence/status/986988737245728768", "986988737245728768")</f>
        <v/>
      </c>
      <c r="B421" s="2" t="n">
        <v>43209.64150462963</v>
      </c>
      <c r="C421" t="n">
        <v>0</v>
      </c>
      <c r="D421" t="n">
        <v>0</v>
      </c>
      <c r="E421" t="s">
        <v>432</v>
      </c>
      <c r="F421" t="s"/>
      <c r="G421" t="s"/>
      <c r="H421" t="s"/>
      <c r="I421" t="s"/>
      <c r="J421" t="n">
        <v>0</v>
      </c>
      <c r="K421" t="n">
        <v>0</v>
      </c>
      <c r="L421" t="n">
        <v>1</v>
      </c>
      <c r="M421" t="n">
        <v>0</v>
      </c>
    </row>
    <row r="422" spans="1:13">
      <c r="A422" s="1">
        <f>HYPERLINK("http://www.twitter.com/NathanBLawrence/status/986958556875411456", "986958556875411456")</f>
        <v/>
      </c>
      <c r="B422" s="2" t="n">
        <v>43209.55822916667</v>
      </c>
      <c r="C422" t="n">
        <v>2</v>
      </c>
      <c r="D422" t="n">
        <v>0</v>
      </c>
      <c r="E422" t="s">
        <v>433</v>
      </c>
      <c r="F422" t="s"/>
      <c r="G422" t="s"/>
      <c r="H422" t="s"/>
      <c r="I422" t="s"/>
      <c r="J422" t="n">
        <v>-0.34</v>
      </c>
      <c r="K422" t="n">
        <v>0.127</v>
      </c>
      <c r="L422" t="n">
        <v>0.788</v>
      </c>
      <c r="M422" t="n">
        <v>0.08500000000000001</v>
      </c>
    </row>
    <row r="423" spans="1:13">
      <c r="A423" s="1">
        <f>HYPERLINK("http://www.twitter.com/NathanBLawrence/status/986956137068138502", "986956137068138502")</f>
        <v/>
      </c>
      <c r="B423" s="2" t="n">
        <v>43209.55155092593</v>
      </c>
      <c r="C423" t="n">
        <v>1</v>
      </c>
      <c r="D423" t="n">
        <v>0</v>
      </c>
      <c r="E423" t="s">
        <v>434</v>
      </c>
      <c r="F423" t="s"/>
      <c r="G423" t="s"/>
      <c r="H423" t="s"/>
      <c r="I423" t="s"/>
      <c r="J423" t="n">
        <v>0.8591</v>
      </c>
      <c r="K423" t="n">
        <v>0</v>
      </c>
      <c r="L423" t="n">
        <v>0.596</v>
      </c>
      <c r="M423" t="n">
        <v>0.404</v>
      </c>
    </row>
    <row r="424" spans="1:13">
      <c r="A424" s="1">
        <f>HYPERLINK("http://www.twitter.com/NathanBLawrence/status/986952684942102528", "986952684942102528")</f>
        <v/>
      </c>
      <c r="B424" s="2" t="n">
        <v>43209.54202546296</v>
      </c>
      <c r="C424" t="n">
        <v>1</v>
      </c>
      <c r="D424" t="n">
        <v>0</v>
      </c>
      <c r="E424" t="s">
        <v>435</v>
      </c>
      <c r="F424" t="s"/>
      <c r="G424" t="s"/>
      <c r="H424" t="s"/>
      <c r="I424" t="s"/>
      <c r="J424" t="n">
        <v>-0.5228</v>
      </c>
      <c r="K424" t="n">
        <v>0.166</v>
      </c>
      <c r="L424" t="n">
        <v>0.834</v>
      </c>
      <c r="M424" t="n">
        <v>0</v>
      </c>
    </row>
    <row r="425" spans="1:13">
      <c r="A425" s="1">
        <f>HYPERLINK("http://www.twitter.com/NathanBLawrence/status/986768268017971205", "986768268017971205")</f>
        <v/>
      </c>
      <c r="B425" s="2" t="n">
        <v>43209.03313657407</v>
      </c>
      <c r="C425" t="n">
        <v>2</v>
      </c>
      <c r="D425" t="n">
        <v>0</v>
      </c>
      <c r="E425" t="s">
        <v>436</v>
      </c>
      <c r="F425" t="s"/>
      <c r="G425" t="s"/>
      <c r="H425" t="s"/>
      <c r="I425" t="s"/>
      <c r="J425" t="n">
        <v>0</v>
      </c>
      <c r="K425" t="n">
        <v>0</v>
      </c>
      <c r="L425" t="n">
        <v>1</v>
      </c>
      <c r="M425" t="n">
        <v>0</v>
      </c>
    </row>
    <row r="426" spans="1:13">
      <c r="A426" s="1">
        <f>HYPERLINK("http://www.twitter.com/NathanBLawrence/status/986768132537634816", "986768132537634816")</f>
        <v/>
      </c>
      <c r="B426" s="2" t="n">
        <v>43209.03275462963</v>
      </c>
      <c r="C426" t="n">
        <v>0</v>
      </c>
      <c r="D426" t="n">
        <v>78</v>
      </c>
      <c r="E426" t="s">
        <v>437</v>
      </c>
      <c r="F426" t="s"/>
      <c r="G426" t="s"/>
      <c r="H426" t="s"/>
      <c r="I426" t="s"/>
      <c r="J426" t="n">
        <v>0</v>
      </c>
      <c r="K426" t="n">
        <v>0</v>
      </c>
      <c r="L426" t="n">
        <v>1</v>
      </c>
      <c r="M426" t="n">
        <v>0</v>
      </c>
    </row>
    <row r="427" spans="1:13">
      <c r="A427" s="1">
        <f>HYPERLINK("http://www.twitter.com/NathanBLawrence/status/986754966508523520", "986754966508523520")</f>
        <v/>
      </c>
      <c r="B427" s="2" t="n">
        <v>43208.99642361111</v>
      </c>
      <c r="C427" t="n">
        <v>0</v>
      </c>
      <c r="D427" t="n">
        <v>0</v>
      </c>
      <c r="E427" t="s">
        <v>438</v>
      </c>
      <c r="F427" t="s"/>
      <c r="G427" t="s"/>
      <c r="H427" t="s"/>
      <c r="I427" t="s"/>
      <c r="J427" t="n">
        <v>0</v>
      </c>
      <c r="K427" t="n">
        <v>0</v>
      </c>
      <c r="L427" t="n">
        <v>1</v>
      </c>
      <c r="M427" t="n">
        <v>0</v>
      </c>
    </row>
    <row r="428" spans="1:13">
      <c r="A428" s="1">
        <f>HYPERLINK("http://www.twitter.com/NathanBLawrence/status/986754736115339265", "986754736115339265")</f>
        <v/>
      </c>
      <c r="B428" s="2" t="n">
        <v>43208.99578703703</v>
      </c>
      <c r="C428" t="n">
        <v>1</v>
      </c>
      <c r="D428" t="n">
        <v>0</v>
      </c>
      <c r="E428" t="s">
        <v>439</v>
      </c>
      <c r="F428" t="s"/>
      <c r="G428" t="s"/>
      <c r="H428" t="s"/>
      <c r="I428" t="s"/>
      <c r="J428" t="n">
        <v>0.7405</v>
      </c>
      <c r="K428" t="n">
        <v>0</v>
      </c>
      <c r="L428" t="n">
        <v>0.695</v>
      </c>
      <c r="M428" t="n">
        <v>0.305</v>
      </c>
    </row>
    <row r="429" spans="1:13">
      <c r="A429" s="1">
        <f>HYPERLINK("http://www.twitter.com/NathanBLawrence/status/986753251063271425", "986753251063271425")</f>
        <v/>
      </c>
      <c r="B429" s="2" t="n">
        <v>43208.99168981481</v>
      </c>
      <c r="C429" t="n">
        <v>0</v>
      </c>
      <c r="D429" t="n">
        <v>0</v>
      </c>
      <c r="E429" t="s">
        <v>440</v>
      </c>
      <c r="F429" t="s"/>
      <c r="G429" t="s"/>
      <c r="H429" t="s"/>
      <c r="I429" t="s"/>
      <c r="J429" t="n">
        <v>0.6369</v>
      </c>
      <c r="K429" t="n">
        <v>0</v>
      </c>
      <c r="L429" t="n">
        <v>0.724</v>
      </c>
      <c r="M429" t="n">
        <v>0.276</v>
      </c>
    </row>
    <row r="430" spans="1:13">
      <c r="A430" s="1">
        <f>HYPERLINK("http://www.twitter.com/NathanBLawrence/status/986687664790306817", "986687664790306817")</f>
        <v/>
      </c>
      <c r="B430" s="2" t="n">
        <v>43208.81070601852</v>
      </c>
      <c r="C430" t="n">
        <v>0</v>
      </c>
      <c r="D430" t="n">
        <v>0</v>
      </c>
      <c r="E430" t="s">
        <v>441</v>
      </c>
      <c r="F430" t="s"/>
      <c r="G430" t="s"/>
      <c r="H430" t="s"/>
      <c r="I430" t="s"/>
      <c r="J430" t="n">
        <v>0.5538</v>
      </c>
      <c r="K430" t="n">
        <v>0</v>
      </c>
      <c r="L430" t="n">
        <v>0.456</v>
      </c>
      <c r="M430" t="n">
        <v>0.544</v>
      </c>
    </row>
    <row r="431" spans="1:13">
      <c r="A431" s="1">
        <f>HYPERLINK("http://www.twitter.com/NathanBLawrence/status/986644523647369218", "986644523647369218")</f>
        <v/>
      </c>
      <c r="B431" s="2" t="n">
        <v>43208.69166666667</v>
      </c>
      <c r="C431" t="n">
        <v>3</v>
      </c>
      <c r="D431" t="n">
        <v>0</v>
      </c>
      <c r="E431" t="s">
        <v>442</v>
      </c>
      <c r="F431" t="s"/>
      <c r="G431" t="s"/>
      <c r="H431" t="s"/>
      <c r="I431" t="s"/>
      <c r="J431" t="n">
        <v>0</v>
      </c>
      <c r="K431" t="n">
        <v>0</v>
      </c>
      <c r="L431" t="n">
        <v>1</v>
      </c>
      <c r="M431" t="n">
        <v>0</v>
      </c>
    </row>
    <row r="432" spans="1:13">
      <c r="A432" s="1">
        <f>HYPERLINK("http://www.twitter.com/NathanBLawrence/status/986554879312367616", "986554879312367616")</f>
        <v/>
      </c>
      <c r="B432" s="2" t="n">
        <v>43208.44429398148</v>
      </c>
      <c r="C432" t="n">
        <v>1</v>
      </c>
      <c r="D432" t="n">
        <v>0</v>
      </c>
      <c r="E432" t="s">
        <v>443</v>
      </c>
      <c r="F432" t="s"/>
      <c r="G432" t="s"/>
      <c r="H432" t="s"/>
      <c r="I432" t="s"/>
      <c r="J432" t="n">
        <v>-0.5423</v>
      </c>
      <c r="K432" t="n">
        <v>0.13</v>
      </c>
      <c r="L432" t="n">
        <v>0.827</v>
      </c>
      <c r="M432" t="n">
        <v>0.043</v>
      </c>
    </row>
    <row r="433" spans="1:13">
      <c r="A433" s="1">
        <f>HYPERLINK("http://www.twitter.com/NathanBLawrence/status/986551331929378817", "986551331929378817")</f>
        <v/>
      </c>
      <c r="B433" s="2" t="n">
        <v>43208.43450231481</v>
      </c>
      <c r="C433" t="n">
        <v>0</v>
      </c>
      <c r="D433" t="n">
        <v>0</v>
      </c>
      <c r="E433" t="s">
        <v>444</v>
      </c>
      <c r="F433" t="s"/>
      <c r="G433" t="s"/>
      <c r="H433" t="s"/>
      <c r="I433" t="s"/>
      <c r="J433" t="n">
        <v>0.4738</v>
      </c>
      <c r="K433" t="n">
        <v>0</v>
      </c>
      <c r="L433" t="n">
        <v>0.866</v>
      </c>
      <c r="M433" t="n">
        <v>0.134</v>
      </c>
    </row>
    <row r="434" spans="1:13">
      <c r="A434" s="1">
        <f>HYPERLINK("http://www.twitter.com/NathanBLawrence/status/986423510145884162", "986423510145884162")</f>
        <v/>
      </c>
      <c r="B434" s="2" t="n">
        <v>43208.0817824074</v>
      </c>
      <c r="C434" t="n">
        <v>0</v>
      </c>
      <c r="D434" t="n">
        <v>0</v>
      </c>
      <c r="E434" t="s">
        <v>445</v>
      </c>
      <c r="F434" t="s"/>
      <c r="G434" t="s"/>
      <c r="H434" t="s"/>
      <c r="I434" t="s"/>
      <c r="J434" t="n">
        <v>0</v>
      </c>
      <c r="K434" t="n">
        <v>0</v>
      </c>
      <c r="L434" t="n">
        <v>1</v>
      </c>
      <c r="M434" t="n">
        <v>0</v>
      </c>
    </row>
    <row r="435" spans="1:13">
      <c r="A435" s="1">
        <f>HYPERLINK("http://www.twitter.com/NathanBLawrence/status/986016482189561856", "986016482189561856")</f>
        <v/>
      </c>
      <c r="B435" s="2" t="n">
        <v>43206.95859953704</v>
      </c>
      <c r="C435" t="n">
        <v>8</v>
      </c>
      <c r="D435" t="n">
        <v>3</v>
      </c>
      <c r="E435" t="s">
        <v>446</v>
      </c>
      <c r="F435" t="s"/>
      <c r="G435" t="s"/>
      <c r="H435" t="s"/>
      <c r="I435" t="s"/>
      <c r="J435" t="n">
        <v>0</v>
      </c>
      <c r="K435" t="n">
        <v>0</v>
      </c>
      <c r="L435" t="n">
        <v>1</v>
      </c>
      <c r="M435" t="n">
        <v>0</v>
      </c>
    </row>
    <row r="436" spans="1:13">
      <c r="A436" s="1">
        <f>HYPERLINK("http://www.twitter.com/NathanBLawrence/status/985960534628556801", "985960534628556801")</f>
        <v/>
      </c>
      <c r="B436" s="2" t="n">
        <v>43206.80421296296</v>
      </c>
      <c r="C436" t="n">
        <v>2</v>
      </c>
      <c r="D436" t="n">
        <v>0</v>
      </c>
      <c r="E436" t="s">
        <v>447</v>
      </c>
      <c r="F436" t="s"/>
      <c r="G436" t="s"/>
      <c r="H436" t="s"/>
      <c r="I436" t="s"/>
      <c r="J436" t="n">
        <v>0.5951</v>
      </c>
      <c r="K436" t="n">
        <v>0</v>
      </c>
      <c r="L436" t="n">
        <v>0.674</v>
      </c>
      <c r="M436" t="n">
        <v>0.326</v>
      </c>
    </row>
    <row r="437" spans="1:13">
      <c r="A437" s="1">
        <f>HYPERLINK("http://www.twitter.com/NathanBLawrence/status/985924935473356805", "985924935473356805")</f>
        <v/>
      </c>
      <c r="B437" s="2" t="n">
        <v>43206.70597222223</v>
      </c>
      <c r="C437" t="n">
        <v>0</v>
      </c>
      <c r="D437" t="n">
        <v>11</v>
      </c>
      <c r="E437" t="s">
        <v>448</v>
      </c>
      <c r="F437">
        <f>HYPERLINK("http://pbs.twimg.com/media/Da6iDTVUwAAJb5k.jpg", "http://pbs.twimg.com/media/Da6iDTVUwAAJb5k.jpg")</f>
        <v/>
      </c>
      <c r="G437" t="s"/>
      <c r="H437" t="s"/>
      <c r="I437" t="s"/>
      <c r="J437" t="n">
        <v>-0.6249</v>
      </c>
      <c r="K437" t="n">
        <v>0.203</v>
      </c>
      <c r="L437" t="n">
        <v>0.797</v>
      </c>
      <c r="M437" t="n">
        <v>0</v>
      </c>
    </row>
    <row r="438" spans="1:13">
      <c r="A438" s="1">
        <f>HYPERLINK("http://www.twitter.com/NathanBLawrence/status/985924906847211520", "985924906847211520")</f>
        <v/>
      </c>
      <c r="B438" s="2" t="n">
        <v>43206.70590277778</v>
      </c>
      <c r="C438" t="n">
        <v>0</v>
      </c>
      <c r="D438" t="n">
        <v>0</v>
      </c>
      <c r="E438" t="s">
        <v>449</v>
      </c>
      <c r="F438" t="s"/>
      <c r="G438" t="s"/>
      <c r="H438" t="s"/>
      <c r="I438" t="s"/>
      <c r="J438" t="n">
        <v>-0.6083</v>
      </c>
      <c r="K438" t="n">
        <v>0.362</v>
      </c>
      <c r="L438" t="n">
        <v>0.638</v>
      </c>
      <c r="M438" t="n">
        <v>0</v>
      </c>
    </row>
    <row r="439" spans="1:13">
      <c r="A439" s="1">
        <f>HYPERLINK("http://www.twitter.com/NathanBLawrence/status/985901276981587968", "985901276981587968")</f>
        <v/>
      </c>
      <c r="B439" s="2" t="n">
        <v>43206.64069444445</v>
      </c>
      <c r="C439" t="n">
        <v>0</v>
      </c>
      <c r="D439" t="n">
        <v>0</v>
      </c>
      <c r="E439" t="s">
        <v>450</v>
      </c>
      <c r="F439" t="s"/>
      <c r="G439" t="s"/>
      <c r="H439" t="s"/>
      <c r="I439" t="s"/>
      <c r="J439" t="n">
        <v>-0.5719</v>
      </c>
      <c r="K439" t="n">
        <v>0.787</v>
      </c>
      <c r="L439" t="n">
        <v>0.213</v>
      </c>
      <c r="M439" t="n">
        <v>0</v>
      </c>
    </row>
    <row r="440" spans="1:13">
      <c r="A440" s="1">
        <f>HYPERLINK("http://www.twitter.com/NathanBLawrence/status/985884918063517696", "985884918063517696")</f>
        <v/>
      </c>
      <c r="B440" s="2" t="n">
        <v>43206.59554398148</v>
      </c>
      <c r="C440" t="n">
        <v>1</v>
      </c>
      <c r="D440" t="n">
        <v>0</v>
      </c>
      <c r="E440" t="s">
        <v>451</v>
      </c>
      <c r="F440" t="s"/>
      <c r="G440" t="s"/>
      <c r="H440" t="s"/>
      <c r="I440" t="s"/>
      <c r="J440" t="n">
        <v>0</v>
      </c>
      <c r="K440" t="n">
        <v>0</v>
      </c>
      <c r="L440" t="n">
        <v>1</v>
      </c>
      <c r="M440" t="n">
        <v>0</v>
      </c>
    </row>
    <row r="441" spans="1:13">
      <c r="A441" s="1">
        <f>HYPERLINK("http://www.twitter.com/NathanBLawrence/status/985884055198732288", "985884055198732288")</f>
        <v/>
      </c>
      <c r="B441" s="2" t="n">
        <v>43206.5931712963</v>
      </c>
      <c r="C441" t="n">
        <v>4</v>
      </c>
      <c r="D441" t="n">
        <v>4</v>
      </c>
      <c r="E441" t="s">
        <v>452</v>
      </c>
      <c r="F441" t="s"/>
      <c r="G441" t="s"/>
      <c r="H441" t="s"/>
      <c r="I441" t="s"/>
      <c r="J441" t="n">
        <v>-0.8658</v>
      </c>
      <c r="K441" t="n">
        <v>0.263</v>
      </c>
      <c r="L441" t="n">
        <v>0.6899999999999999</v>
      </c>
      <c r="M441" t="n">
        <v>0.047</v>
      </c>
    </row>
    <row r="442" spans="1:13">
      <c r="A442" s="1">
        <f>HYPERLINK("http://www.twitter.com/NathanBLawrence/status/985881052962082816", "985881052962082816")</f>
        <v/>
      </c>
      <c r="B442" s="2" t="n">
        <v>43206.58488425926</v>
      </c>
      <c r="C442" t="n">
        <v>0</v>
      </c>
      <c r="D442" t="n">
        <v>1656</v>
      </c>
      <c r="E442" t="s">
        <v>453</v>
      </c>
      <c r="F442" t="s"/>
      <c r="G442" t="s"/>
      <c r="H442" t="s"/>
      <c r="I442" t="s"/>
      <c r="J442" t="n">
        <v>-0.6486</v>
      </c>
      <c r="K442" t="n">
        <v>0.249</v>
      </c>
      <c r="L442" t="n">
        <v>0.751</v>
      </c>
      <c r="M442" t="n">
        <v>0</v>
      </c>
    </row>
    <row r="443" spans="1:13">
      <c r="A443" s="1">
        <f>HYPERLINK("http://www.twitter.com/NathanBLawrence/status/985878106278973441", "985878106278973441")</f>
        <v/>
      </c>
      <c r="B443" s="2" t="n">
        <v>43206.57674768518</v>
      </c>
      <c r="C443" t="n">
        <v>0</v>
      </c>
      <c r="D443" t="n">
        <v>0</v>
      </c>
      <c r="E443" t="s">
        <v>454</v>
      </c>
      <c r="F443" t="s"/>
      <c r="G443" t="s"/>
      <c r="H443" t="s"/>
      <c r="I443" t="s"/>
      <c r="J443" t="n">
        <v>0</v>
      </c>
      <c r="K443" t="n">
        <v>0</v>
      </c>
      <c r="L443" t="n">
        <v>1</v>
      </c>
      <c r="M443" t="n">
        <v>0</v>
      </c>
    </row>
    <row r="444" spans="1:13">
      <c r="A444" s="1">
        <f>HYPERLINK("http://www.twitter.com/NathanBLawrence/status/985864924785242112", "985864924785242112")</f>
        <v/>
      </c>
      <c r="B444" s="2" t="n">
        <v>43206.54038194445</v>
      </c>
      <c r="C444" t="n">
        <v>0</v>
      </c>
      <c r="D444" t="n">
        <v>1</v>
      </c>
      <c r="E444" t="s">
        <v>455</v>
      </c>
      <c r="F444" t="s"/>
      <c r="G444" t="s"/>
      <c r="H444" t="s"/>
      <c r="I444" t="s"/>
      <c r="J444" t="n">
        <v>0</v>
      </c>
      <c r="K444" t="n">
        <v>0</v>
      </c>
      <c r="L444" t="n">
        <v>1</v>
      </c>
      <c r="M444" t="n">
        <v>0</v>
      </c>
    </row>
    <row r="445" spans="1:13">
      <c r="A445" s="1">
        <f>HYPERLINK("http://www.twitter.com/NathanBLawrence/status/985853405737431041", "985853405737431041")</f>
        <v/>
      </c>
      <c r="B445" s="2" t="n">
        <v>43206.50858796296</v>
      </c>
      <c r="C445" t="n">
        <v>1</v>
      </c>
      <c r="D445" t="n">
        <v>0</v>
      </c>
      <c r="E445" t="s">
        <v>456</v>
      </c>
      <c r="F445" t="s"/>
      <c r="G445" t="s"/>
      <c r="H445" t="s"/>
      <c r="I445" t="s"/>
      <c r="J445" t="n">
        <v>0</v>
      </c>
      <c r="K445" t="n">
        <v>0</v>
      </c>
      <c r="L445" t="n">
        <v>1</v>
      </c>
      <c r="M445" t="n">
        <v>0</v>
      </c>
    </row>
    <row r="446" spans="1:13">
      <c r="A446" s="1">
        <f>HYPERLINK("http://www.twitter.com/NathanBLawrence/status/985830171134570496", "985830171134570496")</f>
        <v/>
      </c>
      <c r="B446" s="2" t="n">
        <v>43206.44447916667</v>
      </c>
      <c r="C446" t="n">
        <v>0</v>
      </c>
      <c r="D446" t="n">
        <v>0</v>
      </c>
      <c r="E446" t="s">
        <v>457</v>
      </c>
      <c r="F446" t="s"/>
      <c r="G446" t="s"/>
      <c r="H446" t="s"/>
      <c r="I446" t="s"/>
      <c r="J446" t="n">
        <v>0</v>
      </c>
      <c r="K446" t="n">
        <v>0</v>
      </c>
      <c r="L446" t="n">
        <v>1</v>
      </c>
      <c r="M446" t="n">
        <v>0</v>
      </c>
    </row>
    <row r="447" spans="1:13">
      <c r="A447" s="1">
        <f>HYPERLINK("http://www.twitter.com/NathanBLawrence/status/985727698243850240", "985727698243850240")</f>
        <v/>
      </c>
      <c r="B447" s="2" t="n">
        <v>43206.16170138889</v>
      </c>
      <c r="C447" t="n">
        <v>1</v>
      </c>
      <c r="D447" t="n">
        <v>0</v>
      </c>
      <c r="E447" t="s">
        <v>458</v>
      </c>
      <c r="F447" t="s"/>
      <c r="G447" t="s"/>
      <c r="H447" t="s"/>
      <c r="I447" t="s"/>
      <c r="J447" t="n">
        <v>0.4588</v>
      </c>
      <c r="K447" t="n">
        <v>0</v>
      </c>
      <c r="L447" t="n">
        <v>0.571</v>
      </c>
      <c r="M447" t="n">
        <v>0.429</v>
      </c>
    </row>
    <row r="448" spans="1:13">
      <c r="A448" s="1">
        <f>HYPERLINK("http://www.twitter.com/NathanBLawrence/status/985721421430128640", "985721421430128640")</f>
        <v/>
      </c>
      <c r="B448" s="2" t="n">
        <v>43206.14438657407</v>
      </c>
      <c r="C448" t="n">
        <v>1</v>
      </c>
      <c r="D448" t="n">
        <v>0</v>
      </c>
      <c r="E448" t="s">
        <v>459</v>
      </c>
      <c r="F448" t="s"/>
      <c r="G448" t="s"/>
      <c r="H448" t="s"/>
      <c r="I448" t="s"/>
      <c r="J448" t="n">
        <v>0</v>
      </c>
      <c r="K448" t="n">
        <v>0</v>
      </c>
      <c r="L448" t="n">
        <v>1</v>
      </c>
      <c r="M448" t="n">
        <v>0</v>
      </c>
    </row>
    <row r="449" spans="1:13">
      <c r="A449" s="1">
        <f>HYPERLINK("http://www.twitter.com/NathanBLawrence/status/985326529101074432", "985326529101074432")</f>
        <v/>
      </c>
      <c r="B449" s="2" t="n">
        <v>43205.0546875</v>
      </c>
      <c r="C449" t="n">
        <v>0</v>
      </c>
      <c r="D449" t="n">
        <v>0</v>
      </c>
      <c r="E449" t="s">
        <v>460</v>
      </c>
      <c r="F449" t="s"/>
      <c r="G449" t="s"/>
      <c r="H449" t="s"/>
      <c r="I449" t="s"/>
      <c r="J449" t="n">
        <v>-0.5106000000000001</v>
      </c>
      <c r="K449" t="n">
        <v>0.452</v>
      </c>
      <c r="L449" t="n">
        <v>0.548</v>
      </c>
      <c r="M449" t="n">
        <v>0</v>
      </c>
    </row>
    <row r="450" spans="1:13">
      <c r="A450" s="1">
        <f>HYPERLINK("http://www.twitter.com/NathanBLawrence/status/985219362150854658", "985219362150854658")</f>
        <v/>
      </c>
      <c r="B450" s="2" t="n">
        <v>43204.75896990741</v>
      </c>
      <c r="C450" t="n">
        <v>5</v>
      </c>
      <c r="D450" t="n">
        <v>0</v>
      </c>
      <c r="E450" t="s">
        <v>461</v>
      </c>
      <c r="F450" t="s"/>
      <c r="G450" t="s"/>
      <c r="H450" t="s"/>
      <c r="I450" t="s"/>
      <c r="J450" t="n">
        <v>0</v>
      </c>
      <c r="K450" t="n">
        <v>0</v>
      </c>
      <c r="L450" t="n">
        <v>1</v>
      </c>
      <c r="M450" t="n">
        <v>0</v>
      </c>
    </row>
    <row r="451" spans="1:13">
      <c r="A451" s="1">
        <f>HYPERLINK("http://www.twitter.com/NathanBLawrence/status/985148225597460480", "985148225597460480")</f>
        <v/>
      </c>
      <c r="B451" s="2" t="n">
        <v>43204.56266203704</v>
      </c>
      <c r="C451" t="n">
        <v>1</v>
      </c>
      <c r="D451" t="n">
        <v>0</v>
      </c>
      <c r="E451" t="s">
        <v>462</v>
      </c>
      <c r="F451" t="s"/>
      <c r="G451" t="s"/>
      <c r="H451" t="s"/>
      <c r="I451" t="s"/>
      <c r="J451" t="n">
        <v>-0.0258</v>
      </c>
      <c r="K451" t="n">
        <v>0.118</v>
      </c>
      <c r="L451" t="n">
        <v>0.769</v>
      </c>
      <c r="M451" t="n">
        <v>0.113</v>
      </c>
    </row>
    <row r="452" spans="1:13">
      <c r="A452" s="1">
        <f>HYPERLINK("http://www.twitter.com/NathanBLawrence/status/984961752998797312", "984961752998797312")</f>
        <v/>
      </c>
      <c r="B452" s="2" t="n">
        <v>43204.04810185185</v>
      </c>
      <c r="C452" t="n">
        <v>0</v>
      </c>
      <c r="D452" t="n">
        <v>0</v>
      </c>
      <c r="E452" t="s">
        <v>463</v>
      </c>
      <c r="F452" t="s"/>
      <c r="G452" t="s"/>
      <c r="H452" t="s"/>
      <c r="I452" t="s"/>
      <c r="J452" t="n">
        <v>-0.5067</v>
      </c>
      <c r="K452" t="n">
        <v>0.396</v>
      </c>
      <c r="L452" t="n">
        <v>0.604</v>
      </c>
      <c r="M452" t="n">
        <v>0</v>
      </c>
    </row>
    <row r="453" spans="1:13">
      <c r="A453" s="1">
        <f>HYPERLINK("http://www.twitter.com/NathanBLawrence/status/984961521561276418", "984961521561276418")</f>
        <v/>
      </c>
      <c r="B453" s="2" t="n">
        <v>43204.04746527778</v>
      </c>
      <c r="C453" t="n">
        <v>0</v>
      </c>
      <c r="D453" t="n">
        <v>0</v>
      </c>
      <c r="E453" t="s">
        <v>464</v>
      </c>
      <c r="F453" t="s"/>
      <c r="G453" t="s"/>
      <c r="H453" t="s"/>
      <c r="I453" t="s"/>
      <c r="J453" t="n">
        <v>-0.4215</v>
      </c>
      <c r="K453" t="n">
        <v>0.345</v>
      </c>
      <c r="L453" t="n">
        <v>0.476</v>
      </c>
      <c r="M453" t="n">
        <v>0.179</v>
      </c>
    </row>
    <row r="454" spans="1:13">
      <c r="A454" s="1">
        <f>HYPERLINK("http://www.twitter.com/NathanBLawrence/status/984961007075381254", "984961007075381254")</f>
        <v/>
      </c>
      <c r="B454" s="2" t="n">
        <v>43204.04604166667</v>
      </c>
      <c r="C454" t="n">
        <v>0</v>
      </c>
      <c r="D454" t="n">
        <v>0</v>
      </c>
      <c r="E454" t="s">
        <v>465</v>
      </c>
      <c r="F454" t="s"/>
      <c r="G454" t="s"/>
      <c r="H454" t="s"/>
      <c r="I454" t="s"/>
      <c r="J454" t="n">
        <v>0.4847</v>
      </c>
      <c r="K454" t="n">
        <v>0</v>
      </c>
      <c r="L454" t="n">
        <v>0.741</v>
      </c>
      <c r="M454" t="n">
        <v>0.259</v>
      </c>
    </row>
    <row r="455" spans="1:13">
      <c r="A455" s="1">
        <f>HYPERLINK("http://www.twitter.com/NathanBLawrence/status/984855640131678208", "984855640131678208")</f>
        <v/>
      </c>
      <c r="B455" s="2" t="n">
        <v>43203.75527777777</v>
      </c>
      <c r="C455" t="n">
        <v>0</v>
      </c>
      <c r="D455" t="n">
        <v>0</v>
      </c>
      <c r="E455" t="s">
        <v>466</v>
      </c>
      <c r="F455" t="s"/>
      <c r="G455" t="s"/>
      <c r="H455" t="s"/>
      <c r="I455" t="s"/>
      <c r="J455" t="n">
        <v>0</v>
      </c>
      <c r="K455" t="n">
        <v>0</v>
      </c>
      <c r="L455" t="n">
        <v>1</v>
      </c>
      <c r="M455" t="n">
        <v>0</v>
      </c>
    </row>
    <row r="456" spans="1:13">
      <c r="A456" s="1">
        <f>HYPERLINK("http://www.twitter.com/NathanBLawrence/status/984854585675304961", "984854585675304961")</f>
        <v/>
      </c>
      <c r="B456" s="2" t="n">
        <v>43203.75237268519</v>
      </c>
      <c r="C456" t="n">
        <v>1</v>
      </c>
      <c r="D456" t="n">
        <v>0</v>
      </c>
      <c r="E456" t="s">
        <v>467</v>
      </c>
      <c r="F456" t="s"/>
      <c r="G456" t="s"/>
      <c r="H456" t="s"/>
      <c r="I456" t="s"/>
      <c r="J456" t="n">
        <v>0.6671</v>
      </c>
      <c r="K456" t="n">
        <v>0</v>
      </c>
      <c r="L456" t="n">
        <v>0.402</v>
      </c>
      <c r="M456" t="n">
        <v>0.598</v>
      </c>
    </row>
    <row r="457" spans="1:13">
      <c r="A457" s="1">
        <f>HYPERLINK("http://www.twitter.com/NathanBLawrence/status/984810274527023106", "984810274527023106")</f>
        <v/>
      </c>
      <c r="B457" s="2" t="n">
        <v>43203.63009259259</v>
      </c>
      <c r="C457" t="n">
        <v>0</v>
      </c>
      <c r="D457" t="n">
        <v>5</v>
      </c>
      <c r="E457" t="s">
        <v>468</v>
      </c>
      <c r="F457">
        <f>HYPERLINK("http://pbs.twimg.com/media/Daqc5ynUwAEarsu.jpg", "http://pbs.twimg.com/media/Daqc5ynUwAEarsu.jpg")</f>
        <v/>
      </c>
      <c r="G457" t="s"/>
      <c r="H457" t="s"/>
      <c r="I457" t="s"/>
      <c r="J457" t="n">
        <v>-0.5574</v>
      </c>
      <c r="K457" t="n">
        <v>0.365</v>
      </c>
      <c r="L457" t="n">
        <v>0.635</v>
      </c>
      <c r="M457" t="n">
        <v>0</v>
      </c>
    </row>
    <row r="458" spans="1:13">
      <c r="A458" s="1">
        <f>HYPERLINK("http://www.twitter.com/NathanBLawrence/status/984602573947703307", "984602573947703307")</f>
        <v/>
      </c>
      <c r="B458" s="2" t="n">
        <v>43203.05695601852</v>
      </c>
      <c r="C458" t="n">
        <v>0</v>
      </c>
      <c r="D458" t="n">
        <v>0</v>
      </c>
      <c r="E458" t="s">
        <v>469</v>
      </c>
      <c r="F458" t="s"/>
      <c r="G458" t="s"/>
      <c r="H458" t="s"/>
      <c r="I458" t="s"/>
      <c r="J458" t="n">
        <v>-0.296</v>
      </c>
      <c r="K458" t="n">
        <v>0.216</v>
      </c>
      <c r="L458" t="n">
        <v>0.784</v>
      </c>
      <c r="M458" t="n">
        <v>0</v>
      </c>
    </row>
    <row r="459" spans="1:13">
      <c r="A459" s="1">
        <f>HYPERLINK("http://www.twitter.com/NathanBLawrence/status/984506412213645313", "984506412213645313")</f>
        <v/>
      </c>
      <c r="B459" s="2" t="n">
        <v>43202.79159722223</v>
      </c>
      <c r="C459" t="n">
        <v>0</v>
      </c>
      <c r="D459" t="n">
        <v>12</v>
      </c>
      <c r="E459" t="s">
        <v>470</v>
      </c>
      <c r="F459" t="s"/>
      <c r="G459" t="s"/>
      <c r="H459" t="s"/>
      <c r="I459" t="s"/>
      <c r="J459" t="n">
        <v>-0.5266999999999999</v>
      </c>
      <c r="K459" t="n">
        <v>0.152</v>
      </c>
      <c r="L459" t="n">
        <v>0.848</v>
      </c>
      <c r="M459" t="n">
        <v>0</v>
      </c>
    </row>
    <row r="460" spans="1:13">
      <c r="A460" s="1">
        <f>HYPERLINK("http://www.twitter.com/NathanBLawrence/status/984503617754312704", "984503617754312704")</f>
        <v/>
      </c>
      <c r="B460" s="2" t="n">
        <v>43202.78388888889</v>
      </c>
      <c r="C460" t="n">
        <v>5</v>
      </c>
      <c r="D460" t="n">
        <v>4</v>
      </c>
      <c r="E460" t="s">
        <v>471</v>
      </c>
      <c r="F460" t="s"/>
      <c r="G460" t="s"/>
      <c r="H460" t="s"/>
      <c r="I460" t="s"/>
      <c r="J460" t="n">
        <v>-0.2944</v>
      </c>
      <c r="K460" t="n">
        <v>0.157</v>
      </c>
      <c r="L460" t="n">
        <v>0.695</v>
      </c>
      <c r="M460" t="n">
        <v>0.148</v>
      </c>
    </row>
    <row r="461" spans="1:13">
      <c r="A461" s="1">
        <f>HYPERLINK("http://www.twitter.com/NathanBLawrence/status/984465946021679104", "984465946021679104")</f>
        <v/>
      </c>
      <c r="B461" s="2" t="n">
        <v>43202.67993055555</v>
      </c>
      <c r="C461" t="n">
        <v>0</v>
      </c>
      <c r="D461" t="n">
        <v>3</v>
      </c>
      <c r="E461" t="s">
        <v>472</v>
      </c>
      <c r="F461">
        <f>HYPERLINK("http://pbs.twimg.com/media/DamGHGRXcAAIjDd.jpg", "http://pbs.twimg.com/media/DamGHGRXcAAIjDd.jpg")</f>
        <v/>
      </c>
      <c r="G461" t="s"/>
      <c r="H461" t="s"/>
      <c r="I461" t="s"/>
      <c r="J461" t="n">
        <v>0</v>
      </c>
      <c r="K461" t="n">
        <v>0</v>
      </c>
      <c r="L461" t="n">
        <v>1</v>
      </c>
      <c r="M461" t="n">
        <v>0</v>
      </c>
    </row>
    <row r="462" spans="1:13">
      <c r="A462" s="1">
        <f>HYPERLINK("http://www.twitter.com/NathanBLawrence/status/984459615323742208", "984459615323742208")</f>
        <v/>
      </c>
      <c r="B462" s="2" t="n">
        <v>43202.66246527778</v>
      </c>
      <c r="C462" t="n">
        <v>0</v>
      </c>
      <c r="D462" t="n">
        <v>2</v>
      </c>
      <c r="E462" t="s">
        <v>473</v>
      </c>
      <c r="F462" t="s"/>
      <c r="G462" t="s"/>
      <c r="H462" t="s"/>
      <c r="I462" t="s"/>
      <c r="J462" t="n">
        <v>0.4019</v>
      </c>
      <c r="K462" t="n">
        <v>0.123</v>
      </c>
      <c r="L462" t="n">
        <v>0.651</v>
      </c>
      <c r="M462" t="n">
        <v>0.226</v>
      </c>
    </row>
    <row r="463" spans="1:13">
      <c r="A463" s="1">
        <f>HYPERLINK("http://www.twitter.com/NathanBLawrence/status/984414431441506304", "984414431441506304")</f>
        <v/>
      </c>
      <c r="B463" s="2" t="n">
        <v>43202.53777777778</v>
      </c>
      <c r="C463" t="n">
        <v>5</v>
      </c>
      <c r="D463" t="n">
        <v>3</v>
      </c>
      <c r="E463" t="s">
        <v>474</v>
      </c>
      <c r="F463" t="s"/>
      <c r="G463" t="s"/>
      <c r="H463" t="s"/>
      <c r="I463" t="s"/>
      <c r="J463" t="n">
        <v>-0.296</v>
      </c>
      <c r="K463" t="n">
        <v>0.16</v>
      </c>
      <c r="L463" t="n">
        <v>0.718</v>
      </c>
      <c r="M463" t="n">
        <v>0.122</v>
      </c>
    </row>
    <row r="464" spans="1:13">
      <c r="A464" s="1">
        <f>HYPERLINK("http://www.twitter.com/NathanBLawrence/status/984411814195757056", "984411814195757056")</f>
        <v/>
      </c>
      <c r="B464" s="2" t="n">
        <v>43202.53055555555</v>
      </c>
      <c r="C464" t="n">
        <v>2</v>
      </c>
      <c r="D464" t="n">
        <v>0</v>
      </c>
      <c r="E464" t="s">
        <v>475</v>
      </c>
      <c r="F464" t="s"/>
      <c r="G464" t="s"/>
      <c r="H464" t="s"/>
      <c r="I464" t="s"/>
      <c r="J464" t="n">
        <v>-0.6571</v>
      </c>
      <c r="K464" t="n">
        <v>0.35</v>
      </c>
      <c r="L464" t="n">
        <v>0.65</v>
      </c>
      <c r="M464" t="n">
        <v>0</v>
      </c>
    </row>
    <row r="465" spans="1:13">
      <c r="A465" s="1">
        <f>HYPERLINK("http://www.twitter.com/NathanBLawrence/status/984411498234736642", "984411498234736642")</f>
        <v/>
      </c>
      <c r="B465" s="2" t="n">
        <v>43202.5296875</v>
      </c>
      <c r="C465" t="n">
        <v>1</v>
      </c>
      <c r="D465" t="n">
        <v>0</v>
      </c>
      <c r="E465" t="s">
        <v>476</v>
      </c>
      <c r="F465" t="s"/>
      <c r="G465" t="s"/>
      <c r="H465" t="s"/>
      <c r="I465" t="s"/>
      <c r="J465" t="n">
        <v>0.507</v>
      </c>
      <c r="K465" t="n">
        <v>0</v>
      </c>
      <c r="L465" t="n">
        <v>0.753</v>
      </c>
      <c r="M465" t="n">
        <v>0.247</v>
      </c>
    </row>
    <row r="466" spans="1:13">
      <c r="A466" s="1">
        <f>HYPERLINK("http://www.twitter.com/NathanBLawrence/status/984280472086818817", "984280472086818817")</f>
        <v/>
      </c>
      <c r="B466" s="2" t="n">
        <v>43202.168125</v>
      </c>
      <c r="C466" t="n">
        <v>0</v>
      </c>
      <c r="D466" t="n">
        <v>9</v>
      </c>
      <c r="E466" t="s">
        <v>477</v>
      </c>
      <c r="F466">
        <f>HYPERLINK("http://pbs.twimg.com/media/DajcX0tX0AAVKCl.jpg", "http://pbs.twimg.com/media/DajcX0tX0AAVKCl.jpg")</f>
        <v/>
      </c>
      <c r="G466" t="s"/>
      <c r="H466" t="s"/>
      <c r="I466" t="s"/>
      <c r="J466" t="n">
        <v>0.4759</v>
      </c>
      <c r="K466" t="n">
        <v>0.113</v>
      </c>
      <c r="L466" t="n">
        <v>0.633</v>
      </c>
      <c r="M466" t="n">
        <v>0.253</v>
      </c>
    </row>
    <row r="467" spans="1:13">
      <c r="A467" s="1">
        <f>HYPERLINK("http://www.twitter.com/NathanBLawrence/status/984279929184489472", "984279929184489472")</f>
        <v/>
      </c>
      <c r="B467" s="2" t="n">
        <v>43202.16662037037</v>
      </c>
      <c r="C467" t="n">
        <v>0</v>
      </c>
      <c r="D467" t="n">
        <v>5</v>
      </c>
      <c r="E467" t="s">
        <v>478</v>
      </c>
      <c r="F467" t="s"/>
      <c r="G467" t="s"/>
      <c r="H467" t="s"/>
      <c r="I467" t="s"/>
      <c r="J467" t="n">
        <v>0.3612</v>
      </c>
      <c r="K467" t="n">
        <v>0</v>
      </c>
      <c r="L467" t="n">
        <v>0.898</v>
      </c>
      <c r="M467" t="n">
        <v>0.102</v>
      </c>
    </row>
    <row r="468" spans="1:13">
      <c r="A468" s="1">
        <f>HYPERLINK("http://www.twitter.com/NathanBLawrence/status/984269959491739648", "984269959491739648")</f>
        <v/>
      </c>
      <c r="B468" s="2" t="n">
        <v>43202.1391087963</v>
      </c>
      <c r="C468" t="n">
        <v>9</v>
      </c>
      <c r="D468" t="n">
        <v>6</v>
      </c>
      <c r="E468" t="s">
        <v>479</v>
      </c>
      <c r="F468" t="s"/>
      <c r="G468" t="s"/>
      <c r="H468" t="s"/>
      <c r="I468" t="s"/>
      <c r="J468" t="n">
        <v>-0.25</v>
      </c>
      <c r="K468" t="n">
        <v>0.229</v>
      </c>
      <c r="L468" t="n">
        <v>0.605</v>
      </c>
      <c r="M468" t="n">
        <v>0.166</v>
      </c>
    </row>
    <row r="469" spans="1:13">
      <c r="A469" s="1">
        <f>HYPERLINK("http://www.twitter.com/NathanBLawrence/status/984268343803895809", "984268343803895809")</f>
        <v/>
      </c>
      <c r="B469" s="2" t="n">
        <v>43202.13465277778</v>
      </c>
      <c r="C469" t="n">
        <v>0</v>
      </c>
      <c r="D469" t="n">
        <v>7</v>
      </c>
      <c r="E469" t="s">
        <v>480</v>
      </c>
      <c r="F469" t="s"/>
      <c r="G469" t="s"/>
      <c r="H469" t="s"/>
      <c r="I469" t="s"/>
      <c r="J469" t="n">
        <v>0</v>
      </c>
      <c r="K469" t="n">
        <v>0</v>
      </c>
      <c r="L469" t="n">
        <v>1</v>
      </c>
      <c r="M469" t="n">
        <v>0</v>
      </c>
    </row>
    <row r="470" spans="1:13">
      <c r="A470" s="1">
        <f>HYPERLINK("http://www.twitter.com/NathanBLawrence/status/984268101960323073", "984268101960323073")</f>
        <v/>
      </c>
      <c r="B470" s="2" t="n">
        <v>43202.13398148148</v>
      </c>
      <c r="C470" t="n">
        <v>0</v>
      </c>
      <c r="D470" t="n">
        <v>0</v>
      </c>
      <c r="E470" t="s">
        <v>481</v>
      </c>
      <c r="F470" t="s"/>
      <c r="G470" t="s"/>
      <c r="H470" t="s"/>
      <c r="I470" t="s"/>
      <c r="J470" t="n">
        <v>-0.2263</v>
      </c>
      <c r="K470" t="n">
        <v>0.28</v>
      </c>
      <c r="L470" t="n">
        <v>0.5590000000000001</v>
      </c>
      <c r="M470" t="n">
        <v>0.161</v>
      </c>
    </row>
    <row r="471" spans="1:13">
      <c r="A471" s="1">
        <f>HYPERLINK("http://www.twitter.com/NathanBLawrence/status/984267864348725249", "984267864348725249")</f>
        <v/>
      </c>
      <c r="B471" s="2" t="n">
        <v>43202.13333333333</v>
      </c>
      <c r="C471" t="n">
        <v>0</v>
      </c>
      <c r="D471" t="n">
        <v>1</v>
      </c>
      <c r="E471" t="s">
        <v>482</v>
      </c>
      <c r="F471" t="s"/>
      <c r="G471" t="s"/>
      <c r="H471" t="s"/>
      <c r="I471" t="s"/>
      <c r="J471" t="n">
        <v>-0.5362</v>
      </c>
      <c r="K471" t="n">
        <v>0.157</v>
      </c>
      <c r="L471" t="n">
        <v>0.843</v>
      </c>
      <c r="M471" t="n">
        <v>0</v>
      </c>
    </row>
    <row r="472" spans="1:13">
      <c r="A472" s="1">
        <f>HYPERLINK("http://www.twitter.com/NathanBLawrence/status/984264245499121664", "984264245499121664")</f>
        <v/>
      </c>
      <c r="B472" s="2" t="n">
        <v>43202.12334490741</v>
      </c>
      <c r="C472" t="n">
        <v>3</v>
      </c>
      <c r="D472" t="n">
        <v>2</v>
      </c>
      <c r="E472" t="s">
        <v>483</v>
      </c>
      <c r="F472" t="s"/>
      <c r="G472" t="s"/>
      <c r="H472" t="s"/>
      <c r="I472" t="s"/>
      <c r="J472" t="n">
        <v>-0.5859</v>
      </c>
      <c r="K472" t="n">
        <v>0.116</v>
      </c>
      <c r="L472" t="n">
        <v>0.884</v>
      </c>
      <c r="M472" t="n">
        <v>0</v>
      </c>
    </row>
    <row r="473" spans="1:13">
      <c r="A473" s="1">
        <f>HYPERLINK("http://www.twitter.com/NathanBLawrence/status/984263859434336257", "984263859434336257")</f>
        <v/>
      </c>
      <c r="B473" s="2" t="n">
        <v>43202.12228009259</v>
      </c>
      <c r="C473" t="n">
        <v>2</v>
      </c>
      <c r="D473" t="n">
        <v>2</v>
      </c>
      <c r="E473" t="s">
        <v>484</v>
      </c>
      <c r="F473" t="s"/>
      <c r="G473" t="s"/>
      <c r="H473" t="s"/>
      <c r="I473" t="s"/>
      <c r="J473" t="n">
        <v>0</v>
      </c>
      <c r="K473" t="n">
        <v>0</v>
      </c>
      <c r="L473" t="n">
        <v>1</v>
      </c>
      <c r="M473" t="n">
        <v>0</v>
      </c>
    </row>
    <row r="474" spans="1:13">
      <c r="A474" s="1">
        <f>HYPERLINK("http://www.twitter.com/NathanBLawrence/status/984263568102174720", "984263568102174720")</f>
        <v/>
      </c>
      <c r="B474" s="2" t="n">
        <v>43202.12148148148</v>
      </c>
      <c r="C474" t="n">
        <v>0</v>
      </c>
      <c r="D474" t="n">
        <v>4</v>
      </c>
      <c r="E474" t="s">
        <v>485</v>
      </c>
      <c r="F474" t="s"/>
      <c r="G474" t="s"/>
      <c r="H474" t="s"/>
      <c r="I474" t="s"/>
      <c r="J474" t="n">
        <v>-0.3612</v>
      </c>
      <c r="K474" t="n">
        <v>0.128</v>
      </c>
      <c r="L474" t="n">
        <v>0.872</v>
      </c>
      <c r="M474" t="n">
        <v>0</v>
      </c>
    </row>
    <row r="475" spans="1:13">
      <c r="A475" s="1">
        <f>HYPERLINK("http://www.twitter.com/NathanBLawrence/status/984263397276610560", "984263397276610560")</f>
        <v/>
      </c>
      <c r="B475" s="2" t="n">
        <v>43202.12100694444</v>
      </c>
      <c r="C475" t="n">
        <v>1</v>
      </c>
      <c r="D475" t="n">
        <v>1</v>
      </c>
      <c r="E475" t="s">
        <v>486</v>
      </c>
      <c r="F475" t="s"/>
      <c r="G475" t="s"/>
      <c r="H475" t="s"/>
      <c r="I475" t="s"/>
      <c r="J475" t="n">
        <v>0.5673</v>
      </c>
      <c r="K475" t="n">
        <v>0</v>
      </c>
      <c r="L475" t="n">
        <v>0.522</v>
      </c>
      <c r="M475" t="n">
        <v>0.478</v>
      </c>
    </row>
    <row r="476" spans="1:13">
      <c r="A476" s="1">
        <f>HYPERLINK("http://www.twitter.com/NathanBLawrence/status/984263262475874304", "984263262475874304")</f>
        <v/>
      </c>
      <c r="B476" s="2" t="n">
        <v>43202.12063657407</v>
      </c>
      <c r="C476" t="n">
        <v>0</v>
      </c>
      <c r="D476" t="n">
        <v>13</v>
      </c>
      <c r="E476" t="s">
        <v>487</v>
      </c>
      <c r="F476">
        <f>HYPERLINK("http://pbs.twimg.com/media/DajMWuKUMAAv462.jpg", "http://pbs.twimg.com/media/DajMWuKUMAAv462.jpg")</f>
        <v/>
      </c>
      <c r="G476" t="s"/>
      <c r="H476" t="s"/>
      <c r="I476" t="s"/>
      <c r="J476" t="n">
        <v>0.1531</v>
      </c>
      <c r="K476" t="n">
        <v>0</v>
      </c>
      <c r="L476" t="n">
        <v>0.904</v>
      </c>
      <c r="M476" t="n">
        <v>0.096</v>
      </c>
    </row>
    <row r="477" spans="1:13">
      <c r="A477" s="1">
        <f>HYPERLINK("http://www.twitter.com/NathanBLawrence/status/984262717233131520", "984262717233131520")</f>
        <v/>
      </c>
      <c r="B477" s="2" t="n">
        <v>43202.11913194445</v>
      </c>
      <c r="C477" t="n">
        <v>1</v>
      </c>
      <c r="D477" t="n">
        <v>0</v>
      </c>
      <c r="E477" t="s">
        <v>488</v>
      </c>
      <c r="F477" t="s"/>
      <c r="G477" t="s"/>
      <c r="H477" t="s"/>
      <c r="I477" t="s"/>
      <c r="J477" t="n">
        <v>0.3089</v>
      </c>
      <c r="K477" t="n">
        <v>0</v>
      </c>
      <c r="L477" t="n">
        <v>0.799</v>
      </c>
      <c r="M477" t="n">
        <v>0.201</v>
      </c>
    </row>
    <row r="478" spans="1:13">
      <c r="A478" s="1">
        <f>HYPERLINK("http://www.twitter.com/NathanBLawrence/status/984261376674844673", "984261376674844673")</f>
        <v/>
      </c>
      <c r="B478" s="2" t="n">
        <v>43202.11542824074</v>
      </c>
      <c r="C478" t="n">
        <v>1</v>
      </c>
      <c r="D478" t="n">
        <v>0</v>
      </c>
      <c r="E478" t="s">
        <v>489</v>
      </c>
      <c r="F478" t="s"/>
      <c r="G478" t="s"/>
      <c r="H478" t="s"/>
      <c r="I478" t="s"/>
      <c r="J478" t="n">
        <v>0</v>
      </c>
      <c r="K478" t="n">
        <v>0</v>
      </c>
      <c r="L478" t="n">
        <v>1</v>
      </c>
      <c r="M478" t="n">
        <v>0</v>
      </c>
    </row>
    <row r="479" spans="1:13">
      <c r="A479" s="1">
        <f>HYPERLINK("http://www.twitter.com/NathanBLawrence/status/984211294394953728", "984211294394953728")</f>
        <v/>
      </c>
      <c r="B479" s="2" t="n">
        <v>43201.97723379629</v>
      </c>
      <c r="C479" t="n">
        <v>3</v>
      </c>
      <c r="D479" t="n">
        <v>0</v>
      </c>
      <c r="E479" t="s">
        <v>490</v>
      </c>
      <c r="F479" t="s"/>
      <c r="G479" t="s"/>
      <c r="H479" t="s"/>
      <c r="I479" t="s"/>
      <c r="J479" t="n">
        <v>0</v>
      </c>
      <c r="K479" t="n">
        <v>0</v>
      </c>
      <c r="L479" t="n">
        <v>1</v>
      </c>
      <c r="M479" t="n">
        <v>0</v>
      </c>
    </row>
    <row r="480" spans="1:13">
      <c r="A480" s="1">
        <f>HYPERLINK("http://www.twitter.com/NathanBLawrence/status/984162871830564865", "984162871830564865")</f>
        <v/>
      </c>
      <c r="B480" s="2" t="n">
        <v>43201.84361111111</v>
      </c>
      <c r="C480" t="n">
        <v>2</v>
      </c>
      <c r="D480" t="n">
        <v>0</v>
      </c>
      <c r="E480" t="s">
        <v>491</v>
      </c>
      <c r="F480" t="s"/>
      <c r="G480" t="s"/>
      <c r="H480" t="s"/>
      <c r="I480" t="s"/>
      <c r="J480" t="n">
        <v>-0.4501</v>
      </c>
      <c r="K480" t="n">
        <v>0.33</v>
      </c>
      <c r="L480" t="n">
        <v>0.67</v>
      </c>
      <c r="M480" t="n">
        <v>0</v>
      </c>
    </row>
    <row r="481" spans="1:13">
      <c r="A481" s="1">
        <f>HYPERLINK("http://www.twitter.com/NathanBLawrence/status/984086073218347008", "984086073218347008")</f>
        <v/>
      </c>
      <c r="B481" s="2" t="n">
        <v>43201.63167824074</v>
      </c>
      <c r="C481" t="n">
        <v>6</v>
      </c>
      <c r="D481" t="n">
        <v>0</v>
      </c>
      <c r="E481" t="s">
        <v>492</v>
      </c>
      <c r="F481" t="s"/>
      <c r="G481" t="s"/>
      <c r="H481" t="s"/>
      <c r="I481" t="s"/>
      <c r="J481" t="n">
        <v>0</v>
      </c>
      <c r="K481" t="n">
        <v>0</v>
      </c>
      <c r="L481" t="n">
        <v>1</v>
      </c>
      <c r="M481" t="n">
        <v>0</v>
      </c>
    </row>
    <row r="482" spans="1:13">
      <c r="A482" s="1">
        <f>HYPERLINK("http://www.twitter.com/NathanBLawrence/status/984060655996153857", "984060655996153857")</f>
        <v/>
      </c>
      <c r="B482" s="2" t="n">
        <v>43201.56155092592</v>
      </c>
      <c r="C482" t="n">
        <v>2</v>
      </c>
      <c r="D482" t="n">
        <v>0</v>
      </c>
      <c r="E482" t="s">
        <v>493</v>
      </c>
      <c r="F482" t="s"/>
      <c r="G482" t="s"/>
      <c r="H482" t="s"/>
      <c r="I482" t="s"/>
      <c r="J482" t="n">
        <v>-0.4404</v>
      </c>
      <c r="K482" t="n">
        <v>0.266</v>
      </c>
      <c r="L482" t="n">
        <v>0.734</v>
      </c>
      <c r="M482" t="n">
        <v>0</v>
      </c>
    </row>
    <row r="483" spans="1:13">
      <c r="A483" s="1">
        <f>HYPERLINK("http://www.twitter.com/NathanBLawrence/status/984056895685255170", "984056895685255170")</f>
        <v/>
      </c>
      <c r="B483" s="2" t="n">
        <v>43201.55116898148</v>
      </c>
      <c r="C483" t="n">
        <v>11</v>
      </c>
      <c r="D483" t="n">
        <v>4</v>
      </c>
      <c r="E483" t="s">
        <v>494</v>
      </c>
      <c r="F483" t="s"/>
      <c r="G483" t="s"/>
      <c r="H483" t="s"/>
      <c r="I483" t="s"/>
      <c r="J483" t="n">
        <v>0.4019</v>
      </c>
      <c r="K483" t="n">
        <v>0.187</v>
      </c>
      <c r="L483" t="n">
        <v>0.588</v>
      </c>
      <c r="M483" t="n">
        <v>0.225</v>
      </c>
    </row>
    <row r="484" spans="1:13">
      <c r="A484" s="1">
        <f>HYPERLINK("http://www.twitter.com/NathanBLawrence/status/984056474338037760", "984056474338037760")</f>
        <v/>
      </c>
      <c r="B484" s="2" t="n">
        <v>43201.55001157407</v>
      </c>
      <c r="C484" t="n">
        <v>0</v>
      </c>
      <c r="D484" t="n">
        <v>6</v>
      </c>
      <c r="E484" t="s">
        <v>495</v>
      </c>
      <c r="F484" t="s"/>
      <c r="G484" t="s"/>
      <c r="H484" t="s"/>
      <c r="I484" t="s"/>
      <c r="J484" t="n">
        <v>0</v>
      </c>
      <c r="K484" t="n">
        <v>0.139</v>
      </c>
      <c r="L484" t="n">
        <v>0.723</v>
      </c>
      <c r="M484" t="n">
        <v>0.139</v>
      </c>
    </row>
    <row r="485" spans="1:13">
      <c r="A485" s="1">
        <f>HYPERLINK("http://www.twitter.com/NathanBLawrence/status/983924782554140672", "983924782554140672")</f>
        <v/>
      </c>
      <c r="B485" s="2" t="n">
        <v>43201.1866087963</v>
      </c>
      <c r="C485" t="n">
        <v>8</v>
      </c>
      <c r="D485" t="n">
        <v>0</v>
      </c>
      <c r="E485" t="s">
        <v>496</v>
      </c>
      <c r="F485" t="s"/>
      <c r="G485" t="s"/>
      <c r="H485" t="s"/>
      <c r="I485" t="s"/>
      <c r="J485" t="n">
        <v>0.8074</v>
      </c>
      <c r="K485" t="n">
        <v>0</v>
      </c>
      <c r="L485" t="n">
        <v>0.672</v>
      </c>
      <c r="M485" t="n">
        <v>0.328</v>
      </c>
    </row>
    <row r="486" spans="1:13">
      <c r="A486" s="1">
        <f>HYPERLINK("http://www.twitter.com/NathanBLawrence/status/983920839283396608", "983920839283396608")</f>
        <v/>
      </c>
      <c r="B486" s="2" t="n">
        <v>43201.17572916667</v>
      </c>
      <c r="C486" t="n">
        <v>0</v>
      </c>
      <c r="D486" t="n">
        <v>0</v>
      </c>
      <c r="E486" t="s">
        <v>497</v>
      </c>
      <c r="F486" t="s"/>
      <c r="G486" t="s"/>
      <c r="H486" t="s"/>
      <c r="I486" t="s"/>
      <c r="J486" t="n">
        <v>0.296</v>
      </c>
      <c r="K486" t="n">
        <v>0.07099999999999999</v>
      </c>
      <c r="L486" t="n">
        <v>0.794</v>
      </c>
      <c r="M486" t="n">
        <v>0.135</v>
      </c>
    </row>
    <row r="487" spans="1:13">
      <c r="A487" s="1">
        <f>HYPERLINK("http://www.twitter.com/NathanBLawrence/status/983919607428861952", "983919607428861952")</f>
        <v/>
      </c>
      <c r="B487" s="2" t="n">
        <v>43201.17232638889</v>
      </c>
      <c r="C487" t="n">
        <v>0</v>
      </c>
      <c r="D487" t="n">
        <v>0</v>
      </c>
      <c r="E487" t="s">
        <v>498</v>
      </c>
      <c r="F487">
        <f>HYPERLINK("http://pbs.twimg.com/media/DaeVpNmW4AAVZaQ.jpg", "http://pbs.twimg.com/media/DaeVpNmW4AAVZaQ.jpg")</f>
        <v/>
      </c>
      <c r="G487" t="s"/>
      <c r="H487" t="s"/>
      <c r="I487" t="s"/>
      <c r="J487" t="n">
        <v>0</v>
      </c>
      <c r="K487" t="n">
        <v>0</v>
      </c>
      <c r="L487" t="n">
        <v>1</v>
      </c>
      <c r="M487" t="n">
        <v>0</v>
      </c>
    </row>
    <row r="488" spans="1:13">
      <c r="A488" s="1">
        <f>HYPERLINK("http://www.twitter.com/NathanBLawrence/status/983912363203194880", "983912363203194880")</f>
        <v/>
      </c>
      <c r="B488" s="2" t="n">
        <v>43201.15233796297</v>
      </c>
      <c r="C488" t="n">
        <v>0</v>
      </c>
      <c r="D488" t="n">
        <v>0</v>
      </c>
      <c r="E488" t="s">
        <v>499</v>
      </c>
      <c r="F488" t="s"/>
      <c r="G488" t="s"/>
      <c r="H488" t="s"/>
      <c r="I488" t="s"/>
      <c r="J488" t="n">
        <v>0.8270999999999999</v>
      </c>
      <c r="K488" t="n">
        <v>0</v>
      </c>
      <c r="L488" t="n">
        <v>0.717</v>
      </c>
      <c r="M488" t="n">
        <v>0.283</v>
      </c>
    </row>
    <row r="489" spans="1:13">
      <c r="A489" s="1">
        <f>HYPERLINK("http://www.twitter.com/NathanBLawrence/status/983911261565079552", "983911261565079552")</f>
        <v/>
      </c>
      <c r="B489" s="2" t="n">
        <v>43201.14929398148</v>
      </c>
      <c r="C489" t="n">
        <v>1</v>
      </c>
      <c r="D489" t="n">
        <v>0</v>
      </c>
      <c r="E489" t="s">
        <v>500</v>
      </c>
      <c r="F489" t="s"/>
      <c r="G489" t="s"/>
      <c r="H489" t="s"/>
      <c r="I489" t="s"/>
      <c r="J489" t="n">
        <v>-0.5859</v>
      </c>
      <c r="K489" t="n">
        <v>0.168</v>
      </c>
      <c r="L489" t="n">
        <v>0.78</v>
      </c>
      <c r="M489" t="n">
        <v>0.052</v>
      </c>
    </row>
    <row r="490" spans="1:13">
      <c r="A490" s="1">
        <f>HYPERLINK("http://www.twitter.com/NathanBLawrence/status/983909797329326080", "983909797329326080")</f>
        <v/>
      </c>
      <c r="B490" s="2" t="n">
        <v>43201.14525462963</v>
      </c>
      <c r="C490" t="n">
        <v>18</v>
      </c>
      <c r="D490" t="n">
        <v>11</v>
      </c>
      <c r="E490" t="s">
        <v>501</v>
      </c>
      <c r="F490" t="s"/>
      <c r="G490" t="s"/>
      <c r="H490" t="s"/>
      <c r="I490" t="s"/>
      <c r="J490" t="n">
        <v>-0.6187</v>
      </c>
      <c r="K490" t="n">
        <v>0.199</v>
      </c>
      <c r="L490" t="n">
        <v>0.753</v>
      </c>
      <c r="M490" t="n">
        <v>0.048</v>
      </c>
    </row>
    <row r="491" spans="1:13">
      <c r="A491" s="1">
        <f>HYPERLINK("http://www.twitter.com/NathanBLawrence/status/983801568523931649", "983801568523931649")</f>
        <v/>
      </c>
      <c r="B491" s="2" t="n">
        <v>43200.84659722223</v>
      </c>
      <c r="C491" t="n">
        <v>1</v>
      </c>
      <c r="D491" t="n">
        <v>0</v>
      </c>
      <c r="E491" t="s">
        <v>502</v>
      </c>
      <c r="F491" t="s"/>
      <c r="G491" t="s"/>
      <c r="H491" t="s"/>
      <c r="I491" t="s"/>
      <c r="J491" t="n">
        <v>0</v>
      </c>
      <c r="K491" t="n">
        <v>0</v>
      </c>
      <c r="L491" t="n">
        <v>1</v>
      </c>
      <c r="M491" t="n">
        <v>0</v>
      </c>
    </row>
    <row r="492" spans="1:13">
      <c r="A492" s="1">
        <f>HYPERLINK("http://www.twitter.com/NathanBLawrence/status/983800438259703810", "983800438259703810")</f>
        <v/>
      </c>
      <c r="B492" s="2" t="n">
        <v>43200.8434837963</v>
      </c>
      <c r="C492" t="n">
        <v>1</v>
      </c>
      <c r="D492" t="n">
        <v>0</v>
      </c>
      <c r="E492" t="s">
        <v>503</v>
      </c>
      <c r="F492" t="s"/>
      <c r="G492" t="s"/>
      <c r="H492" t="s"/>
      <c r="I492" t="s"/>
      <c r="J492" t="n">
        <v>-0.34</v>
      </c>
      <c r="K492" t="n">
        <v>0.375</v>
      </c>
      <c r="L492" t="n">
        <v>0.625</v>
      </c>
      <c r="M492" t="n">
        <v>0</v>
      </c>
    </row>
    <row r="493" spans="1:13">
      <c r="A493" s="1">
        <f>HYPERLINK("http://www.twitter.com/NathanBLawrence/status/983654558483275776", "983654558483275776")</f>
        <v/>
      </c>
      <c r="B493" s="2" t="n">
        <v>43200.44092592593</v>
      </c>
      <c r="C493" t="n">
        <v>0</v>
      </c>
      <c r="D493" t="n">
        <v>0</v>
      </c>
      <c r="E493" t="s">
        <v>504</v>
      </c>
      <c r="F493" t="s"/>
      <c r="G493" t="s"/>
      <c r="H493" t="s"/>
      <c r="I493" t="s"/>
      <c r="J493" t="n">
        <v>0</v>
      </c>
      <c r="K493" t="n">
        <v>0</v>
      </c>
      <c r="L493" t="n">
        <v>1</v>
      </c>
      <c r="M493" t="n">
        <v>0</v>
      </c>
    </row>
    <row r="494" spans="1:13">
      <c r="A494" s="1">
        <f>HYPERLINK("http://www.twitter.com/NathanBLawrence/status/983555834084057089", "983555834084057089")</f>
        <v/>
      </c>
      <c r="B494" s="2" t="n">
        <v>43200.16850694444</v>
      </c>
      <c r="C494" t="n">
        <v>1</v>
      </c>
      <c r="D494" t="n">
        <v>0</v>
      </c>
      <c r="E494" t="s">
        <v>505</v>
      </c>
      <c r="F494" t="s"/>
      <c r="G494" t="s"/>
      <c r="H494" t="s"/>
      <c r="I494" t="s"/>
      <c r="J494" t="n">
        <v>0</v>
      </c>
      <c r="K494" t="n">
        <v>0</v>
      </c>
      <c r="L494" t="n">
        <v>1</v>
      </c>
      <c r="M494" t="n">
        <v>0</v>
      </c>
    </row>
    <row r="495" spans="1:13">
      <c r="A495" s="1">
        <f>HYPERLINK("http://www.twitter.com/NathanBLawrence/status/983541211658104833", "983541211658104833")</f>
        <v/>
      </c>
      <c r="B495" s="2" t="n">
        <v>43200.12814814815</v>
      </c>
      <c r="C495" t="n">
        <v>0</v>
      </c>
      <c r="D495" t="n">
        <v>0</v>
      </c>
      <c r="E495" t="s">
        <v>506</v>
      </c>
      <c r="F495" t="s"/>
      <c r="G495" t="s"/>
      <c r="H495" t="s"/>
      <c r="I495" t="s"/>
      <c r="J495" t="n">
        <v>0</v>
      </c>
      <c r="K495" t="n">
        <v>0</v>
      </c>
      <c r="L495" t="n">
        <v>1</v>
      </c>
      <c r="M495" t="n">
        <v>0</v>
      </c>
    </row>
    <row r="496" spans="1:13">
      <c r="A496" s="1">
        <f>HYPERLINK("http://www.twitter.com/NathanBLawrence/status/983540507333877760", "983540507333877760")</f>
        <v/>
      </c>
      <c r="B496" s="2" t="n">
        <v>43200.1262037037</v>
      </c>
      <c r="C496" t="n">
        <v>0</v>
      </c>
      <c r="D496" t="n">
        <v>0</v>
      </c>
      <c r="E496" t="s">
        <v>507</v>
      </c>
      <c r="F496" t="s"/>
      <c r="G496" t="s"/>
      <c r="H496" t="s"/>
      <c r="I496" t="s"/>
      <c r="J496" t="n">
        <v>0</v>
      </c>
      <c r="K496" t="n">
        <v>0</v>
      </c>
      <c r="L496" t="n">
        <v>1</v>
      </c>
      <c r="M496" t="n">
        <v>0</v>
      </c>
    </row>
    <row r="497" spans="1:13">
      <c r="A497" s="1">
        <f>HYPERLINK("http://www.twitter.com/NathanBLawrence/status/983540300940546049", "983540300940546049")</f>
        <v/>
      </c>
      <c r="B497" s="2" t="n">
        <v>43200.12563657408</v>
      </c>
      <c r="C497" t="n">
        <v>1</v>
      </c>
      <c r="D497" t="n">
        <v>0</v>
      </c>
      <c r="E497" t="s">
        <v>508</v>
      </c>
      <c r="F497" t="s"/>
      <c r="G497" t="s"/>
      <c r="H497" t="s"/>
      <c r="I497" t="s"/>
      <c r="J497" t="n">
        <v>0</v>
      </c>
      <c r="K497" t="n">
        <v>0</v>
      </c>
      <c r="L497" t="n">
        <v>1</v>
      </c>
      <c r="M497" t="n">
        <v>0</v>
      </c>
    </row>
    <row r="498" spans="1:13">
      <c r="A498" s="1">
        <f>HYPERLINK("http://www.twitter.com/NathanBLawrence/status/983539842528235520", "983539842528235520")</f>
        <v/>
      </c>
      <c r="B498" s="2" t="n">
        <v>43200.124375</v>
      </c>
      <c r="C498" t="n">
        <v>2</v>
      </c>
      <c r="D498" t="n">
        <v>1</v>
      </c>
      <c r="E498" t="s">
        <v>509</v>
      </c>
      <c r="F498" t="s"/>
      <c r="G498" t="s"/>
      <c r="H498" t="s"/>
      <c r="I498" t="s"/>
      <c r="J498" t="n">
        <v>0.4898</v>
      </c>
      <c r="K498" t="n">
        <v>0</v>
      </c>
      <c r="L498" t="n">
        <v>0.612</v>
      </c>
      <c r="M498" t="n">
        <v>0.388</v>
      </c>
    </row>
    <row r="499" spans="1:13">
      <c r="A499" s="1">
        <f>HYPERLINK("http://www.twitter.com/NathanBLawrence/status/983536656568541184", "983536656568541184")</f>
        <v/>
      </c>
      <c r="B499" s="2" t="n">
        <v>43200.11557870371</v>
      </c>
      <c r="C499" t="n">
        <v>9</v>
      </c>
      <c r="D499" t="n">
        <v>3</v>
      </c>
      <c r="E499" t="s">
        <v>510</v>
      </c>
      <c r="F499" t="s"/>
      <c r="G499" t="s"/>
      <c r="H499" t="s"/>
      <c r="I499" t="s"/>
      <c r="J499" t="n">
        <v>0.5719</v>
      </c>
      <c r="K499" t="n">
        <v>0</v>
      </c>
      <c r="L499" t="n">
        <v>0.887</v>
      </c>
      <c r="M499" t="n">
        <v>0.113</v>
      </c>
    </row>
    <row r="500" spans="1:13">
      <c r="A500" s="1">
        <f>HYPERLINK("http://www.twitter.com/NathanBLawrence/status/983484356831404032", "983484356831404032")</f>
        <v/>
      </c>
      <c r="B500" s="2" t="n">
        <v>43199.97126157407</v>
      </c>
      <c r="C500" t="n">
        <v>0</v>
      </c>
      <c r="D500" t="n">
        <v>0</v>
      </c>
      <c r="E500" t="s">
        <v>511</v>
      </c>
      <c r="F500" t="s"/>
      <c r="G500" t="s"/>
      <c r="H500" t="s"/>
      <c r="I500" t="s"/>
      <c r="J500" t="n">
        <v>0</v>
      </c>
      <c r="K500" t="n">
        <v>0</v>
      </c>
      <c r="L500" t="n">
        <v>1</v>
      </c>
      <c r="M500" t="n">
        <v>0</v>
      </c>
    </row>
    <row r="501" spans="1:13">
      <c r="A501" s="1">
        <f>HYPERLINK("http://www.twitter.com/NathanBLawrence/status/983483993868980224", "983483993868980224")</f>
        <v/>
      </c>
      <c r="B501" s="2" t="n">
        <v>43199.9702662037</v>
      </c>
      <c r="C501" t="n">
        <v>1</v>
      </c>
      <c r="D501" t="n">
        <v>2</v>
      </c>
      <c r="E501" t="s">
        <v>512</v>
      </c>
      <c r="F501" t="s"/>
      <c r="G501" t="s"/>
      <c r="H501" t="s"/>
      <c r="I501" t="s"/>
      <c r="J501" t="n">
        <v>-0.4724</v>
      </c>
      <c r="K501" t="n">
        <v>0.255</v>
      </c>
      <c r="L501" t="n">
        <v>0.745</v>
      </c>
      <c r="M501" t="n">
        <v>0</v>
      </c>
    </row>
    <row r="502" spans="1:13">
      <c r="A502" s="1">
        <f>HYPERLINK("http://www.twitter.com/NathanBLawrence/status/983475956181618688", "983475956181618688")</f>
        <v/>
      </c>
      <c r="B502" s="2" t="n">
        <v>43199.9480787037</v>
      </c>
      <c r="C502" t="n">
        <v>1</v>
      </c>
      <c r="D502" t="n">
        <v>1</v>
      </c>
      <c r="E502" t="s">
        <v>513</v>
      </c>
      <c r="F502" t="s"/>
      <c r="G502" t="s"/>
      <c r="H502" t="s"/>
      <c r="I502" t="s"/>
      <c r="J502" t="n">
        <v>0</v>
      </c>
      <c r="K502" t="n">
        <v>0</v>
      </c>
      <c r="L502" t="n">
        <v>1</v>
      </c>
      <c r="M502" t="n">
        <v>0</v>
      </c>
    </row>
    <row r="503" spans="1:13">
      <c r="A503" s="1">
        <f>HYPERLINK("http://www.twitter.com/NathanBLawrence/status/983436221878857728", "983436221878857728")</f>
        <v/>
      </c>
      <c r="B503" s="2" t="n">
        <v>43199.8384375</v>
      </c>
      <c r="C503" t="n">
        <v>0</v>
      </c>
      <c r="D503" t="n">
        <v>243</v>
      </c>
      <c r="E503" t="s">
        <v>514</v>
      </c>
      <c r="F503" t="s"/>
      <c r="G503" t="s"/>
      <c r="H503" t="s"/>
      <c r="I503" t="s"/>
      <c r="J503" t="n">
        <v>-0.4588</v>
      </c>
      <c r="K503" t="n">
        <v>0.197</v>
      </c>
      <c r="L503" t="n">
        <v>0.72</v>
      </c>
      <c r="M503" t="n">
        <v>0.083</v>
      </c>
    </row>
    <row r="504" spans="1:13">
      <c r="A504" s="1">
        <f>HYPERLINK("http://www.twitter.com/NathanBLawrence/status/983357896858718209", "983357896858718209")</f>
        <v/>
      </c>
      <c r="B504" s="2" t="n">
        <v>43199.62230324074</v>
      </c>
      <c r="C504" t="n">
        <v>0</v>
      </c>
      <c r="D504" t="n">
        <v>0</v>
      </c>
      <c r="E504" t="s">
        <v>515</v>
      </c>
      <c r="F504" t="s"/>
      <c r="G504" t="s"/>
      <c r="H504" t="s"/>
      <c r="I504" t="s"/>
      <c r="J504" t="n">
        <v>0.7003</v>
      </c>
      <c r="K504" t="n">
        <v>0</v>
      </c>
      <c r="L504" t="n">
        <v>0.508</v>
      </c>
      <c r="M504" t="n">
        <v>0.492</v>
      </c>
    </row>
    <row r="505" spans="1:13">
      <c r="A505" s="1">
        <f>HYPERLINK("http://www.twitter.com/NathanBLawrence/status/983333015895138304", "983333015895138304")</f>
        <v/>
      </c>
      <c r="B505" s="2" t="n">
        <v>43199.55364583333</v>
      </c>
      <c r="C505" t="n">
        <v>1</v>
      </c>
      <c r="D505" t="n">
        <v>1</v>
      </c>
      <c r="E505" t="s">
        <v>516</v>
      </c>
      <c r="F505" t="s"/>
      <c r="G505" t="s"/>
      <c r="H505" t="s"/>
      <c r="I505" t="s"/>
      <c r="J505" t="n">
        <v>0</v>
      </c>
      <c r="K505" t="n">
        <v>0</v>
      </c>
      <c r="L505" t="n">
        <v>1</v>
      </c>
      <c r="M505" t="n">
        <v>0</v>
      </c>
    </row>
    <row r="506" spans="1:13">
      <c r="A506" s="1">
        <f>HYPERLINK("http://www.twitter.com/NathanBLawrence/status/983163543112515584", "983163543112515584")</f>
        <v/>
      </c>
      <c r="B506" s="2" t="n">
        <v>43199.0859837963</v>
      </c>
      <c r="C506" t="n">
        <v>0</v>
      </c>
      <c r="D506" t="n">
        <v>0</v>
      </c>
      <c r="E506" t="s">
        <v>517</v>
      </c>
      <c r="F506" t="s"/>
      <c r="G506" t="s"/>
      <c r="H506" t="s"/>
      <c r="I506" t="s"/>
      <c r="J506" t="n">
        <v>0</v>
      </c>
      <c r="K506" t="n">
        <v>0</v>
      </c>
      <c r="L506" t="n">
        <v>1</v>
      </c>
      <c r="M506" t="n">
        <v>0</v>
      </c>
    </row>
    <row r="507" spans="1:13">
      <c r="A507" s="1">
        <f>HYPERLINK("http://www.twitter.com/NathanBLawrence/status/983092302993350656", "983092302993350656")</f>
        <v/>
      </c>
      <c r="B507" s="2" t="n">
        <v>43198.88939814815</v>
      </c>
      <c r="C507" t="n">
        <v>0</v>
      </c>
      <c r="D507" t="n">
        <v>0</v>
      </c>
      <c r="E507" t="s">
        <v>518</v>
      </c>
      <c r="F507" t="s"/>
      <c r="G507" t="s"/>
      <c r="H507" t="s"/>
      <c r="I507" t="s"/>
      <c r="J507" t="n">
        <v>0.5859</v>
      </c>
      <c r="K507" t="n">
        <v>0</v>
      </c>
      <c r="L507" t="n">
        <v>0.678</v>
      </c>
      <c r="M507" t="n">
        <v>0.322</v>
      </c>
    </row>
    <row r="508" spans="1:13">
      <c r="A508" s="1">
        <f>HYPERLINK("http://www.twitter.com/NathanBLawrence/status/982777091560235009", "982777091560235009")</f>
        <v/>
      </c>
      <c r="B508" s="2" t="n">
        <v>43198.01958333333</v>
      </c>
      <c r="C508" t="n">
        <v>0</v>
      </c>
      <c r="D508" t="n">
        <v>33</v>
      </c>
      <c r="E508" t="s">
        <v>519</v>
      </c>
      <c r="F508" t="s"/>
      <c r="G508" t="s"/>
      <c r="H508" t="s"/>
      <c r="I508" t="s"/>
      <c r="J508" t="n">
        <v>0.636</v>
      </c>
      <c r="K508" t="n">
        <v>0</v>
      </c>
      <c r="L508" t="n">
        <v>0.766</v>
      </c>
      <c r="M508" t="n">
        <v>0.234</v>
      </c>
    </row>
    <row r="509" spans="1:13">
      <c r="A509" s="1">
        <f>HYPERLINK("http://www.twitter.com/NathanBLawrence/status/982777019778916352", "982777019778916352")</f>
        <v/>
      </c>
      <c r="B509" s="2" t="n">
        <v>43198.01938657407</v>
      </c>
      <c r="C509" t="n">
        <v>0</v>
      </c>
      <c r="D509" t="n">
        <v>93</v>
      </c>
      <c r="E509" t="s">
        <v>520</v>
      </c>
      <c r="F509" t="s"/>
      <c r="G509" t="s"/>
      <c r="H509" t="s"/>
      <c r="I509" t="s"/>
      <c r="J509" t="n">
        <v>-0.08069999999999999</v>
      </c>
      <c r="K509" t="n">
        <v>0.123</v>
      </c>
      <c r="L509" t="n">
        <v>0.767</v>
      </c>
      <c r="M509" t="n">
        <v>0.11</v>
      </c>
    </row>
    <row r="510" spans="1:13">
      <c r="A510" s="1">
        <f>HYPERLINK("http://www.twitter.com/NathanBLawrence/status/982760330236440576", "982760330236440576")</f>
        <v/>
      </c>
      <c r="B510" s="2" t="n">
        <v>43197.97333333334</v>
      </c>
      <c r="C510" t="n">
        <v>0</v>
      </c>
      <c r="D510" t="n">
        <v>0</v>
      </c>
      <c r="E510" t="s">
        <v>521</v>
      </c>
      <c r="F510" t="s"/>
      <c r="G510" t="s"/>
      <c r="H510" t="s"/>
      <c r="I510" t="s"/>
      <c r="J510" t="n">
        <v>0.3612</v>
      </c>
      <c r="K510" t="n">
        <v>0</v>
      </c>
      <c r="L510" t="n">
        <v>0.848</v>
      </c>
      <c r="M510" t="n">
        <v>0.152</v>
      </c>
    </row>
    <row r="511" spans="1:13">
      <c r="A511" s="1">
        <f>HYPERLINK("http://www.twitter.com/NathanBLawrence/status/982759409368686594", "982759409368686594")</f>
        <v/>
      </c>
      <c r="B511" s="2" t="n">
        <v>43197.97078703704</v>
      </c>
      <c r="C511" t="n">
        <v>0</v>
      </c>
      <c r="D511" t="n">
        <v>0</v>
      </c>
      <c r="E511" t="s">
        <v>522</v>
      </c>
      <c r="F511" t="s"/>
      <c r="G511" t="s"/>
      <c r="H511" t="s"/>
      <c r="I511" t="s"/>
      <c r="J511" t="n">
        <v>0</v>
      </c>
      <c r="K511" t="n">
        <v>0</v>
      </c>
      <c r="L511" t="n">
        <v>1</v>
      </c>
      <c r="M511" t="n">
        <v>0</v>
      </c>
    </row>
    <row r="512" spans="1:13">
      <c r="A512" s="1">
        <f>HYPERLINK("http://www.twitter.com/NathanBLawrence/status/982752497373769728", "982752497373769728")</f>
        <v/>
      </c>
      <c r="B512" s="2" t="n">
        <v>43197.95171296296</v>
      </c>
      <c r="C512" t="n">
        <v>3</v>
      </c>
      <c r="D512" t="n">
        <v>1</v>
      </c>
      <c r="E512" t="s">
        <v>523</v>
      </c>
      <c r="F512" t="s"/>
      <c r="G512" t="s"/>
      <c r="H512" t="s"/>
      <c r="I512" t="s"/>
      <c r="J512" t="n">
        <v>0</v>
      </c>
      <c r="K512" t="n">
        <v>0</v>
      </c>
      <c r="L512" t="n">
        <v>1</v>
      </c>
      <c r="M512" t="n">
        <v>0</v>
      </c>
    </row>
    <row r="513" spans="1:13">
      <c r="A513" s="1">
        <f>HYPERLINK("http://www.twitter.com/NathanBLawrence/status/982751395370676224", "982751395370676224")</f>
        <v/>
      </c>
      <c r="B513" s="2" t="n">
        <v>43197.94866898148</v>
      </c>
      <c r="C513" t="n">
        <v>1</v>
      </c>
      <c r="D513" t="n">
        <v>0</v>
      </c>
      <c r="E513" t="s">
        <v>524</v>
      </c>
      <c r="F513" t="s"/>
      <c r="G513" t="s"/>
      <c r="H513" t="s"/>
      <c r="I513" t="s"/>
      <c r="J513" t="n">
        <v>0.9022</v>
      </c>
      <c r="K513" t="n">
        <v>0</v>
      </c>
      <c r="L513" t="n">
        <v>0.519</v>
      </c>
      <c r="M513" t="n">
        <v>0.481</v>
      </c>
    </row>
    <row r="514" spans="1:13">
      <c r="A514" s="1">
        <f>HYPERLINK("http://www.twitter.com/NathanBLawrence/status/982631797090635776", "982631797090635776")</f>
        <v/>
      </c>
      <c r="B514" s="2" t="n">
        <v>43197.61864583333</v>
      </c>
      <c r="C514" t="n">
        <v>44</v>
      </c>
      <c r="D514" t="n">
        <v>9</v>
      </c>
      <c r="E514" t="s">
        <v>525</v>
      </c>
      <c r="F514">
        <f>HYPERLINK("http://pbs.twimg.com/media/DaMCZzKVMAANica.jpg", "http://pbs.twimg.com/media/DaMCZzKVMAANica.jpg")</f>
        <v/>
      </c>
      <c r="G514" t="s"/>
      <c r="H514" t="s"/>
      <c r="I514" t="s"/>
      <c r="J514" t="n">
        <v>0</v>
      </c>
      <c r="K514" t="n">
        <v>0</v>
      </c>
      <c r="L514" t="n">
        <v>1</v>
      </c>
      <c r="M514" t="n">
        <v>0</v>
      </c>
    </row>
    <row r="515" spans="1:13">
      <c r="A515" s="1">
        <f>HYPERLINK("http://www.twitter.com/NathanBLawrence/status/982619428058779649", "982619428058779649")</f>
        <v/>
      </c>
      <c r="B515" s="2" t="n">
        <v>43197.58451388889</v>
      </c>
      <c r="C515" t="n">
        <v>9</v>
      </c>
      <c r="D515" t="n">
        <v>1</v>
      </c>
      <c r="E515" t="s">
        <v>526</v>
      </c>
      <c r="F515" t="s"/>
      <c r="G515" t="s"/>
      <c r="H515" t="s"/>
      <c r="I515" t="s"/>
      <c r="J515" t="n">
        <v>-0.4523</v>
      </c>
      <c r="K515" t="n">
        <v>0.245</v>
      </c>
      <c r="L515" t="n">
        <v>0.606</v>
      </c>
      <c r="M515" t="n">
        <v>0.149</v>
      </c>
    </row>
    <row r="516" spans="1:13">
      <c r="A516" s="1">
        <f>HYPERLINK("http://www.twitter.com/NathanBLawrence/status/982468529357287425", "982468529357287425")</f>
        <v/>
      </c>
      <c r="B516" s="2" t="n">
        <v>43197.16811342593</v>
      </c>
      <c r="C516" t="n">
        <v>0</v>
      </c>
      <c r="D516" t="n">
        <v>0</v>
      </c>
      <c r="E516" t="s">
        <v>527</v>
      </c>
      <c r="F516" t="s"/>
      <c r="G516" t="s"/>
      <c r="H516" t="s"/>
      <c r="I516" t="s"/>
      <c r="J516" t="n">
        <v>0.6369</v>
      </c>
      <c r="K516" t="n">
        <v>0</v>
      </c>
      <c r="L516" t="n">
        <v>0.6820000000000001</v>
      </c>
      <c r="M516" t="n">
        <v>0.318</v>
      </c>
    </row>
    <row r="517" spans="1:13">
      <c r="A517" s="1">
        <f>HYPERLINK("http://www.twitter.com/NathanBLawrence/status/982468325526687744", "982468325526687744")</f>
        <v/>
      </c>
      <c r="B517" s="2" t="n">
        <v>43197.1675462963</v>
      </c>
      <c r="C517" t="n">
        <v>0</v>
      </c>
      <c r="D517" t="n">
        <v>0</v>
      </c>
      <c r="E517" t="s">
        <v>528</v>
      </c>
      <c r="F517" t="s"/>
      <c r="G517" t="s"/>
      <c r="H517" t="s"/>
      <c r="I517" t="s"/>
      <c r="J517" t="n">
        <v>-0.7161</v>
      </c>
      <c r="K517" t="n">
        <v>0.332</v>
      </c>
      <c r="L517" t="n">
        <v>0.668</v>
      </c>
      <c r="M517" t="n">
        <v>0</v>
      </c>
    </row>
    <row r="518" spans="1:13">
      <c r="A518" s="1">
        <f>HYPERLINK("http://www.twitter.com/NathanBLawrence/status/982429500767199233", "982429500767199233")</f>
        <v/>
      </c>
      <c r="B518" s="2" t="n">
        <v>43197.06041666667</v>
      </c>
      <c r="C518" t="n">
        <v>1</v>
      </c>
      <c r="D518" t="n">
        <v>0</v>
      </c>
      <c r="E518" t="s">
        <v>529</v>
      </c>
      <c r="F518" t="s"/>
      <c r="G518" t="s"/>
      <c r="H518" t="s"/>
      <c r="I518" t="s"/>
      <c r="J518" t="n">
        <v>0.7405</v>
      </c>
      <c r="K518" t="n">
        <v>0</v>
      </c>
      <c r="L518" t="n">
        <v>0.487</v>
      </c>
      <c r="M518" t="n">
        <v>0.513</v>
      </c>
    </row>
    <row r="519" spans="1:13">
      <c r="A519" s="1">
        <f>HYPERLINK("http://www.twitter.com/NathanBLawrence/status/981962728024788993", "981962728024788993")</f>
        <v/>
      </c>
      <c r="B519" s="2" t="n">
        <v>43195.77237268518</v>
      </c>
      <c r="C519" t="n">
        <v>0</v>
      </c>
      <c r="D519" t="n">
        <v>0</v>
      </c>
      <c r="E519" t="s">
        <v>530</v>
      </c>
      <c r="F519" t="s"/>
      <c r="G519" t="s"/>
      <c r="H519" t="s"/>
      <c r="I519" t="s"/>
      <c r="J519" t="n">
        <v>0</v>
      </c>
      <c r="K519" t="n">
        <v>0</v>
      </c>
      <c r="L519" t="n">
        <v>1</v>
      </c>
      <c r="M519" t="n">
        <v>0</v>
      </c>
    </row>
    <row r="520" spans="1:13">
      <c r="A520" s="1">
        <f>HYPERLINK("http://www.twitter.com/NathanBLawrence/status/981741580544602112", "981741580544602112")</f>
        <v/>
      </c>
      <c r="B520" s="2" t="n">
        <v>43195.16211805555</v>
      </c>
      <c r="C520" t="n">
        <v>1</v>
      </c>
      <c r="D520" t="n">
        <v>1</v>
      </c>
      <c r="E520" t="s">
        <v>531</v>
      </c>
      <c r="F520" t="s"/>
      <c r="G520" t="s"/>
      <c r="H520" t="s"/>
      <c r="I520" t="s"/>
      <c r="J520" t="n">
        <v>0.2263</v>
      </c>
      <c r="K520" t="n">
        <v>0.105</v>
      </c>
      <c r="L520" t="n">
        <v>0.762</v>
      </c>
      <c r="M520" t="n">
        <v>0.133</v>
      </c>
    </row>
    <row r="521" spans="1:13">
      <c r="A521" s="1">
        <f>HYPERLINK("http://www.twitter.com/NathanBLawrence/status/981739868211634185", "981739868211634185")</f>
        <v/>
      </c>
      <c r="B521" s="2" t="n">
        <v>43195.15739583333</v>
      </c>
      <c r="C521" t="n">
        <v>1</v>
      </c>
      <c r="D521" t="n">
        <v>0</v>
      </c>
      <c r="E521" t="s">
        <v>532</v>
      </c>
      <c r="F521" t="s"/>
      <c r="G521" t="s"/>
      <c r="H521" t="s"/>
      <c r="I521" t="s"/>
      <c r="J521" t="n">
        <v>0</v>
      </c>
      <c r="K521" t="n">
        <v>0</v>
      </c>
      <c r="L521" t="n">
        <v>1</v>
      </c>
      <c r="M521" t="n">
        <v>0</v>
      </c>
    </row>
    <row r="522" spans="1:13">
      <c r="A522" s="1">
        <f>HYPERLINK("http://www.twitter.com/NathanBLawrence/status/981504209093824514", "981504209093824514")</f>
        <v/>
      </c>
      <c r="B522" s="2" t="n">
        <v>43194.50709490741</v>
      </c>
      <c r="C522" t="n">
        <v>0</v>
      </c>
      <c r="D522" t="n">
        <v>0</v>
      </c>
      <c r="E522" t="s">
        <v>533</v>
      </c>
      <c r="F522" t="s"/>
      <c r="G522" t="s"/>
      <c r="H522" t="s"/>
      <c r="I522" t="s"/>
      <c r="J522" t="n">
        <v>0</v>
      </c>
      <c r="K522" t="n">
        <v>0</v>
      </c>
      <c r="L522" t="n">
        <v>1</v>
      </c>
      <c r="M522" t="n">
        <v>0</v>
      </c>
    </row>
    <row r="523" spans="1:13">
      <c r="A523" s="1">
        <f>HYPERLINK("http://www.twitter.com/NathanBLawrence/status/981365017714085894", "981365017714085894")</f>
        <v/>
      </c>
      <c r="B523" s="2" t="n">
        <v>43194.12299768518</v>
      </c>
      <c r="C523" t="n">
        <v>0</v>
      </c>
      <c r="D523" t="n">
        <v>0</v>
      </c>
      <c r="E523" t="s">
        <v>534</v>
      </c>
      <c r="F523" t="s"/>
      <c r="G523" t="s"/>
      <c r="H523" t="s"/>
      <c r="I523" t="s"/>
      <c r="J523" t="n">
        <v>0.4588</v>
      </c>
      <c r="K523" t="n">
        <v>0</v>
      </c>
      <c r="L523" t="n">
        <v>0.7</v>
      </c>
      <c r="M523" t="n">
        <v>0.3</v>
      </c>
    </row>
    <row r="524" spans="1:13">
      <c r="A524" s="1">
        <f>HYPERLINK("http://www.twitter.com/NathanBLawrence/status/981305203243847681", "981305203243847681")</f>
        <v/>
      </c>
      <c r="B524" s="2" t="n">
        <v>43193.95793981481</v>
      </c>
      <c r="C524" t="n">
        <v>0</v>
      </c>
      <c r="D524" t="n">
        <v>0</v>
      </c>
      <c r="E524" t="s">
        <v>535</v>
      </c>
      <c r="F524" t="s"/>
      <c r="G524" t="s"/>
      <c r="H524" t="s"/>
      <c r="I524" t="s"/>
      <c r="J524" t="n">
        <v>-0.6249</v>
      </c>
      <c r="K524" t="n">
        <v>0.406</v>
      </c>
      <c r="L524" t="n">
        <v>0.594</v>
      </c>
      <c r="M524" t="n">
        <v>0</v>
      </c>
    </row>
    <row r="525" spans="1:13">
      <c r="A525" s="1">
        <f>HYPERLINK("http://www.twitter.com/NathanBLawrence/status/981239928997711872", "981239928997711872")</f>
        <v/>
      </c>
      <c r="B525" s="2" t="n">
        <v>43193.77782407407</v>
      </c>
      <c r="C525" t="n">
        <v>0</v>
      </c>
      <c r="D525" t="n">
        <v>0</v>
      </c>
      <c r="E525" t="s">
        <v>536</v>
      </c>
      <c r="F525" t="s"/>
      <c r="G525" t="s"/>
      <c r="H525" t="s"/>
      <c r="I525" t="s"/>
      <c r="J525" t="n">
        <v>0</v>
      </c>
      <c r="K525" t="n">
        <v>0</v>
      </c>
      <c r="L525" t="n">
        <v>1</v>
      </c>
      <c r="M525" t="n">
        <v>0</v>
      </c>
    </row>
    <row r="526" spans="1:13">
      <c r="A526" s="1">
        <f>HYPERLINK("http://www.twitter.com/NathanBLawrence/status/981239506564210688", "981239506564210688")</f>
        <v/>
      </c>
      <c r="B526" s="2" t="n">
        <v>43193.7766550926</v>
      </c>
      <c r="C526" t="n">
        <v>1</v>
      </c>
      <c r="D526" t="n">
        <v>0</v>
      </c>
      <c r="E526" t="s">
        <v>537</v>
      </c>
      <c r="F526" t="s"/>
      <c r="G526" t="s"/>
      <c r="H526" t="s"/>
      <c r="I526" t="s"/>
      <c r="J526" t="n">
        <v>0</v>
      </c>
      <c r="K526" t="n">
        <v>0</v>
      </c>
      <c r="L526" t="n">
        <v>1</v>
      </c>
      <c r="M526" t="n">
        <v>0</v>
      </c>
    </row>
    <row r="527" spans="1:13">
      <c r="A527" s="1">
        <f>HYPERLINK("http://www.twitter.com/NathanBLawrence/status/981223672009711617", "981223672009711617")</f>
        <v/>
      </c>
      <c r="B527" s="2" t="n">
        <v>43193.73296296296</v>
      </c>
      <c r="C527" t="n">
        <v>1</v>
      </c>
      <c r="D527" t="n">
        <v>0</v>
      </c>
      <c r="E527" t="s">
        <v>538</v>
      </c>
      <c r="F527" t="s"/>
      <c r="G527" t="s"/>
      <c r="H527" t="s"/>
      <c r="I527" t="s"/>
      <c r="J527" t="n">
        <v>0</v>
      </c>
      <c r="K527" t="n">
        <v>0</v>
      </c>
      <c r="L527" t="n">
        <v>1</v>
      </c>
      <c r="M527" t="n">
        <v>0</v>
      </c>
    </row>
    <row r="528" spans="1:13">
      <c r="A528" s="1">
        <f>HYPERLINK("http://www.twitter.com/NathanBLawrence/status/981222426527846401", "981222426527846401")</f>
        <v/>
      </c>
      <c r="B528" s="2" t="n">
        <v>43193.72952546296</v>
      </c>
      <c r="C528" t="n">
        <v>1</v>
      </c>
      <c r="D528" t="n">
        <v>0</v>
      </c>
      <c r="E528" t="s">
        <v>539</v>
      </c>
      <c r="F528" t="s"/>
      <c r="G528" t="s"/>
      <c r="H528" t="s"/>
      <c r="I528" t="s"/>
      <c r="J528" t="n">
        <v>0</v>
      </c>
      <c r="K528" t="n">
        <v>0</v>
      </c>
      <c r="L528" t="n">
        <v>1</v>
      </c>
      <c r="M528" t="n">
        <v>0</v>
      </c>
    </row>
    <row r="529" spans="1:13">
      <c r="A529" s="1">
        <f>HYPERLINK("http://www.twitter.com/NathanBLawrence/status/981222089909788673", "981222089909788673")</f>
        <v/>
      </c>
      <c r="B529" s="2" t="n">
        <v>43193.72859953704</v>
      </c>
      <c r="C529" t="n">
        <v>1</v>
      </c>
      <c r="D529" t="n">
        <v>0</v>
      </c>
      <c r="E529" t="s">
        <v>540</v>
      </c>
      <c r="F529" t="s"/>
      <c r="G529" t="s"/>
      <c r="H529" t="s"/>
      <c r="I529" t="s"/>
      <c r="J529" t="n">
        <v>0.128</v>
      </c>
      <c r="K529" t="n">
        <v>0</v>
      </c>
      <c r="L529" t="n">
        <v>0.824</v>
      </c>
      <c r="M529" t="n">
        <v>0.176</v>
      </c>
    </row>
    <row r="530" spans="1:13">
      <c r="A530" s="1">
        <f>HYPERLINK("http://www.twitter.com/NathanBLawrence/status/981221511725010944", "981221511725010944")</f>
        <v/>
      </c>
      <c r="B530" s="2" t="n">
        <v>43193.72700231482</v>
      </c>
      <c r="C530" t="n">
        <v>0</v>
      </c>
      <c r="D530" t="n">
        <v>0</v>
      </c>
      <c r="E530" t="s">
        <v>541</v>
      </c>
      <c r="F530" t="s"/>
      <c r="G530" t="s"/>
      <c r="H530" t="s"/>
      <c r="I530" t="s"/>
      <c r="J530" t="n">
        <v>-0.3412</v>
      </c>
      <c r="K530" t="n">
        <v>0.179</v>
      </c>
      <c r="L530" t="n">
        <v>0.821</v>
      </c>
      <c r="M530" t="n">
        <v>0</v>
      </c>
    </row>
    <row r="531" spans="1:13">
      <c r="A531" s="1">
        <f>HYPERLINK("http://www.twitter.com/NathanBLawrence/status/980950888494792704", "980950888494792704")</f>
        <v/>
      </c>
      <c r="B531" s="2" t="n">
        <v>43192.9802199074</v>
      </c>
      <c r="C531" t="n">
        <v>0</v>
      </c>
      <c r="D531" t="n">
        <v>0</v>
      </c>
      <c r="E531" t="s">
        <v>542</v>
      </c>
      <c r="F531" t="s"/>
      <c r="G531" t="s"/>
      <c r="H531" t="s"/>
      <c r="I531" t="s"/>
      <c r="J531" t="n">
        <v>0</v>
      </c>
      <c r="K531" t="n">
        <v>0</v>
      </c>
      <c r="L531" t="n">
        <v>1</v>
      </c>
      <c r="M531" t="n">
        <v>0</v>
      </c>
    </row>
    <row r="532" spans="1:13">
      <c r="A532" s="1">
        <f>HYPERLINK("http://www.twitter.com/NathanBLawrence/status/980944680555876352", "980944680555876352")</f>
        <v/>
      </c>
      <c r="B532" s="2" t="n">
        <v>43192.96309027778</v>
      </c>
      <c r="C532" t="n">
        <v>0</v>
      </c>
      <c r="D532" t="n">
        <v>1</v>
      </c>
      <c r="E532" t="s">
        <v>543</v>
      </c>
      <c r="F532" t="s"/>
      <c r="G532" t="s"/>
      <c r="H532" t="s"/>
      <c r="I532" t="s"/>
      <c r="J532" t="n">
        <v>-0.8519</v>
      </c>
      <c r="K532" t="n">
        <v>0.317</v>
      </c>
      <c r="L532" t="n">
        <v>0.6830000000000001</v>
      </c>
      <c r="M532" t="n">
        <v>0</v>
      </c>
    </row>
    <row r="533" spans="1:13">
      <c r="A533" s="1">
        <f>HYPERLINK("http://www.twitter.com/NathanBLawrence/status/980893567068590082", "980893567068590082")</f>
        <v/>
      </c>
      <c r="B533" s="2" t="n">
        <v>43192.82204861111</v>
      </c>
      <c r="C533" t="n">
        <v>1</v>
      </c>
      <c r="D533" t="n">
        <v>0</v>
      </c>
      <c r="E533" t="s">
        <v>544</v>
      </c>
      <c r="F533" t="s"/>
      <c r="G533" t="s"/>
      <c r="H533" t="s"/>
      <c r="I533" t="s"/>
      <c r="J533" t="n">
        <v>0</v>
      </c>
      <c r="K533" t="n">
        <v>0</v>
      </c>
      <c r="L533" t="n">
        <v>1</v>
      </c>
      <c r="M533" t="n">
        <v>0</v>
      </c>
    </row>
    <row r="534" spans="1:13">
      <c r="A534" s="1">
        <f>HYPERLINK("http://www.twitter.com/NathanBLawrence/status/980856323385458688", "980856323385458688")</f>
        <v/>
      </c>
      <c r="B534" s="2" t="n">
        <v>43192.71927083333</v>
      </c>
      <c r="C534" t="n">
        <v>0</v>
      </c>
      <c r="D534" t="n">
        <v>7378</v>
      </c>
      <c r="E534" t="s">
        <v>545</v>
      </c>
      <c r="F534" t="s"/>
      <c r="G534" t="s"/>
      <c r="H534" t="s"/>
      <c r="I534" t="s"/>
      <c r="J534" t="n">
        <v>0.7351</v>
      </c>
      <c r="K534" t="n">
        <v>0</v>
      </c>
      <c r="L534" t="n">
        <v>0.617</v>
      </c>
      <c r="M534" t="n">
        <v>0.383</v>
      </c>
    </row>
    <row r="535" spans="1:13">
      <c r="A535" s="1">
        <f>HYPERLINK("http://www.twitter.com/NathanBLawrence/status/980806679871844354", "980806679871844354")</f>
        <v/>
      </c>
      <c r="B535" s="2" t="n">
        <v>43192.5822800926</v>
      </c>
      <c r="C535" t="n">
        <v>2</v>
      </c>
      <c r="D535" t="n">
        <v>0</v>
      </c>
      <c r="E535" t="s">
        <v>546</v>
      </c>
      <c r="F535" t="s"/>
      <c r="G535" t="s"/>
      <c r="H535" t="s"/>
      <c r="I535" t="s"/>
      <c r="J535" t="n">
        <v>0.8979</v>
      </c>
      <c r="K535" t="n">
        <v>0</v>
      </c>
      <c r="L535" t="n">
        <v>0.573</v>
      </c>
      <c r="M535" t="n">
        <v>0.427</v>
      </c>
    </row>
    <row r="536" spans="1:13">
      <c r="A536" s="1">
        <f>HYPERLINK("http://www.twitter.com/NathanBLawrence/status/980792262278991873", "980792262278991873")</f>
        <v/>
      </c>
      <c r="B536" s="2" t="n">
        <v>43192.5425</v>
      </c>
      <c r="C536" t="n">
        <v>0</v>
      </c>
      <c r="D536" t="n">
        <v>0</v>
      </c>
      <c r="E536" t="s">
        <v>547</v>
      </c>
      <c r="F536" t="s"/>
      <c r="G536" t="s"/>
      <c r="H536" t="s"/>
      <c r="I536" t="s"/>
      <c r="J536" t="n">
        <v>-0.5106000000000001</v>
      </c>
      <c r="K536" t="n">
        <v>0.35</v>
      </c>
      <c r="L536" t="n">
        <v>0.65</v>
      </c>
      <c r="M536" t="n">
        <v>0</v>
      </c>
    </row>
    <row r="537" spans="1:13">
      <c r="A537" s="1">
        <f>HYPERLINK("http://www.twitter.com/NathanBLawrence/status/980789009264898049", "980789009264898049")</f>
        <v/>
      </c>
      <c r="B537" s="2" t="n">
        <v>43192.53351851852</v>
      </c>
      <c r="C537" t="n">
        <v>0</v>
      </c>
      <c r="D537" t="n">
        <v>0</v>
      </c>
      <c r="E537" t="s">
        <v>548</v>
      </c>
      <c r="F537" t="s"/>
      <c r="G537" t="s"/>
      <c r="H537" t="s"/>
      <c r="I537" t="s"/>
      <c r="J537" t="n">
        <v>0</v>
      </c>
      <c r="K537" t="n">
        <v>0</v>
      </c>
      <c r="L537" t="n">
        <v>1</v>
      </c>
      <c r="M537" t="n">
        <v>0</v>
      </c>
    </row>
    <row r="538" spans="1:13">
      <c r="A538" s="1">
        <f>HYPERLINK("http://www.twitter.com/NathanBLawrence/status/980617282878672896", "980617282878672896")</f>
        <v/>
      </c>
      <c r="B538" s="2" t="n">
        <v>43192.0596412037</v>
      </c>
      <c r="C538" t="n">
        <v>0</v>
      </c>
      <c r="D538" t="n">
        <v>0</v>
      </c>
      <c r="E538" t="s">
        <v>549</v>
      </c>
      <c r="F538" t="s"/>
      <c r="G538" t="s"/>
      <c r="H538" t="s"/>
      <c r="I538" t="s"/>
      <c r="J538" t="n">
        <v>0</v>
      </c>
      <c r="K538" t="n">
        <v>0</v>
      </c>
      <c r="L538" t="n">
        <v>1</v>
      </c>
      <c r="M538" t="n">
        <v>0</v>
      </c>
    </row>
    <row r="539" spans="1:13">
      <c r="A539" s="1">
        <f>HYPERLINK("http://www.twitter.com/NathanBLawrence/status/980616765125349376", "980616765125349376")</f>
        <v/>
      </c>
      <c r="B539" s="2" t="n">
        <v>43192.0582175926</v>
      </c>
      <c r="C539" t="n">
        <v>0</v>
      </c>
      <c r="D539" t="n">
        <v>0</v>
      </c>
      <c r="E539" t="s">
        <v>550</v>
      </c>
      <c r="F539" t="s"/>
      <c r="G539" t="s"/>
      <c r="H539" t="s"/>
      <c r="I539" t="s"/>
      <c r="J539" t="n">
        <v>0.5266999999999999</v>
      </c>
      <c r="K539" t="n">
        <v>0</v>
      </c>
      <c r="L539" t="n">
        <v>0.476</v>
      </c>
      <c r="M539" t="n">
        <v>0.524</v>
      </c>
    </row>
    <row r="540" spans="1:13">
      <c r="A540" s="1">
        <f>HYPERLINK("http://www.twitter.com/NathanBLawrence/status/980615562152873985", "980615562152873985")</f>
        <v/>
      </c>
      <c r="B540" s="2" t="n">
        <v>43192.05489583333</v>
      </c>
      <c r="C540" t="n">
        <v>0</v>
      </c>
      <c r="D540" t="n">
        <v>0</v>
      </c>
      <c r="E540" t="s">
        <v>551</v>
      </c>
      <c r="F540" t="s"/>
      <c r="G540" t="s"/>
      <c r="H540" t="s"/>
      <c r="I540" t="s"/>
      <c r="J540" t="n">
        <v>-0.3182</v>
      </c>
      <c r="K540" t="n">
        <v>0.434</v>
      </c>
      <c r="L540" t="n">
        <v>0.5659999999999999</v>
      </c>
      <c r="M540" t="n">
        <v>0</v>
      </c>
    </row>
    <row r="541" spans="1:13">
      <c r="A541" s="1">
        <f>HYPERLINK("http://www.twitter.com/NathanBLawrence/status/980555104146337792", "980555104146337792")</f>
        <v/>
      </c>
      <c r="B541" s="2" t="n">
        <v>43191.88806712963</v>
      </c>
      <c r="C541" t="n">
        <v>2</v>
      </c>
      <c r="D541" t="n">
        <v>0</v>
      </c>
      <c r="E541" t="s">
        <v>552</v>
      </c>
      <c r="F541" t="s"/>
      <c r="G541" t="s"/>
      <c r="H541" t="s"/>
      <c r="I541" t="s"/>
      <c r="J541" t="n">
        <v>0</v>
      </c>
      <c r="K541" t="n">
        <v>0</v>
      </c>
      <c r="L541" t="n">
        <v>1</v>
      </c>
      <c r="M541" t="n">
        <v>0</v>
      </c>
    </row>
    <row r="542" spans="1:13">
      <c r="A542" s="1">
        <f>HYPERLINK("http://www.twitter.com/NathanBLawrence/status/980554159484219395", "980554159484219395")</f>
        <v/>
      </c>
      <c r="B542" s="2" t="n">
        <v>43191.88546296296</v>
      </c>
      <c r="C542" t="n">
        <v>1</v>
      </c>
      <c r="D542" t="n">
        <v>0</v>
      </c>
      <c r="E542" t="s">
        <v>553</v>
      </c>
      <c r="F542" t="s"/>
      <c r="G542" t="s"/>
      <c r="H542" t="s"/>
      <c r="I542" t="s"/>
      <c r="J542" t="n">
        <v>0.7003</v>
      </c>
      <c r="K542" t="n">
        <v>0</v>
      </c>
      <c r="L542" t="n">
        <v>0.58</v>
      </c>
      <c r="M542" t="n">
        <v>0.42</v>
      </c>
    </row>
    <row r="543" spans="1:13">
      <c r="A543" s="1">
        <f>HYPERLINK("http://www.twitter.com/NathanBLawrence/status/980553904625766400", "980553904625766400")</f>
        <v/>
      </c>
      <c r="B543" s="2" t="n">
        <v>43191.88475694445</v>
      </c>
      <c r="C543" t="n">
        <v>1</v>
      </c>
      <c r="D543" t="n">
        <v>0</v>
      </c>
      <c r="E543" t="s">
        <v>554</v>
      </c>
      <c r="F543" t="s"/>
      <c r="G543" t="s"/>
      <c r="H543" t="s"/>
      <c r="I543" t="s"/>
      <c r="J543" t="n">
        <v>0.296</v>
      </c>
      <c r="K543" t="n">
        <v>0</v>
      </c>
      <c r="L543" t="n">
        <v>0.855</v>
      </c>
      <c r="M543" t="n">
        <v>0.145</v>
      </c>
    </row>
    <row r="544" spans="1:13">
      <c r="A544" s="1">
        <f>HYPERLINK("http://www.twitter.com/NathanBLawrence/status/980524890242666497", "980524890242666497")</f>
        <v/>
      </c>
      <c r="B544" s="2" t="n">
        <v>43191.8046875</v>
      </c>
      <c r="C544" t="n">
        <v>1</v>
      </c>
      <c r="D544" t="n">
        <v>0</v>
      </c>
      <c r="E544" t="s">
        <v>555</v>
      </c>
      <c r="F544" t="s"/>
      <c r="G544" t="s"/>
      <c r="H544" t="s"/>
      <c r="I544" t="s"/>
      <c r="J544" t="n">
        <v>-0.4588</v>
      </c>
      <c r="K544" t="n">
        <v>0.333</v>
      </c>
      <c r="L544" t="n">
        <v>0.667</v>
      </c>
      <c r="M544" t="n">
        <v>0</v>
      </c>
    </row>
    <row r="545" spans="1:13">
      <c r="A545" s="1">
        <f>HYPERLINK("http://www.twitter.com/NathanBLawrence/status/980519027427733506", "980519027427733506")</f>
        <v/>
      </c>
      <c r="B545" s="2" t="n">
        <v>43191.78850694445</v>
      </c>
      <c r="C545" t="n">
        <v>1</v>
      </c>
      <c r="D545" t="n">
        <v>1</v>
      </c>
      <c r="E545" t="s">
        <v>556</v>
      </c>
      <c r="F545" t="s"/>
      <c r="G545" t="s"/>
      <c r="H545" t="s"/>
      <c r="I545" t="s"/>
      <c r="J545" t="n">
        <v>0</v>
      </c>
      <c r="K545" t="n">
        <v>0</v>
      </c>
      <c r="L545" t="n">
        <v>1</v>
      </c>
      <c r="M545" t="n">
        <v>0</v>
      </c>
    </row>
    <row r="546" spans="1:13">
      <c r="A546" s="1">
        <f>HYPERLINK("http://www.twitter.com/NathanBLawrence/status/980465683778736129", "980465683778736129")</f>
        <v/>
      </c>
      <c r="B546" s="2" t="n">
        <v>43191.64130787037</v>
      </c>
      <c r="C546" t="n">
        <v>0</v>
      </c>
      <c r="D546" t="n">
        <v>5108</v>
      </c>
      <c r="E546" t="s">
        <v>557</v>
      </c>
      <c r="F546">
        <f>HYPERLINK("http://pbs.twimg.com/media/DZpgf1kX4AYHR1D.jpg", "http://pbs.twimg.com/media/DZpgf1kX4AYHR1D.jpg")</f>
        <v/>
      </c>
      <c r="G546" t="s"/>
      <c r="H546" t="s"/>
      <c r="I546" t="s"/>
      <c r="J546" t="n">
        <v>0</v>
      </c>
      <c r="K546" t="n">
        <v>0</v>
      </c>
      <c r="L546" t="n">
        <v>1</v>
      </c>
      <c r="M546" t="n">
        <v>0</v>
      </c>
    </row>
    <row r="547" spans="1:13">
      <c r="A547" s="1">
        <f>HYPERLINK("http://www.twitter.com/NathanBLawrence/status/980463948192534529", "980463948192534529")</f>
        <v/>
      </c>
      <c r="B547" s="2" t="n">
        <v>43191.63652777778</v>
      </c>
      <c r="C547" t="n">
        <v>1</v>
      </c>
      <c r="D547" t="n">
        <v>1</v>
      </c>
      <c r="E547" t="s">
        <v>558</v>
      </c>
      <c r="F547" t="s"/>
      <c r="G547" t="s"/>
      <c r="H547" t="s"/>
      <c r="I547" t="s"/>
      <c r="J547" t="n">
        <v>0</v>
      </c>
      <c r="K547" t="n">
        <v>0</v>
      </c>
      <c r="L547" t="n">
        <v>1</v>
      </c>
      <c r="M547" t="n">
        <v>0</v>
      </c>
    </row>
    <row r="548" spans="1:13">
      <c r="A548" s="1">
        <f>HYPERLINK("http://www.twitter.com/NathanBLawrence/status/980451486680473600", "980451486680473600")</f>
        <v/>
      </c>
      <c r="B548" s="2" t="n">
        <v>43191.60212962963</v>
      </c>
      <c r="C548" t="n">
        <v>2</v>
      </c>
      <c r="D548" t="n">
        <v>0</v>
      </c>
      <c r="E548" t="s">
        <v>559</v>
      </c>
      <c r="F548" t="s"/>
      <c r="G548" t="s"/>
      <c r="H548" t="s"/>
      <c r="I548" t="s"/>
      <c r="J548" t="n">
        <v>0</v>
      </c>
      <c r="K548" t="n">
        <v>0</v>
      </c>
      <c r="L548" t="n">
        <v>1</v>
      </c>
      <c r="M548" t="n">
        <v>0</v>
      </c>
    </row>
    <row r="549" spans="1:13">
      <c r="A549" s="1">
        <f>HYPERLINK("http://www.twitter.com/NathanBLawrence/status/980444063479496704", "980444063479496704")</f>
        <v/>
      </c>
      <c r="B549" s="2" t="n">
        <v>43191.5816550926</v>
      </c>
      <c r="C549" t="n">
        <v>0</v>
      </c>
      <c r="D549" t="n">
        <v>0</v>
      </c>
      <c r="E549" t="s">
        <v>560</v>
      </c>
      <c r="F549" t="s"/>
      <c r="G549" t="s"/>
      <c r="H549" t="s"/>
      <c r="I549" t="s"/>
      <c r="J549" t="n">
        <v>0.7067</v>
      </c>
      <c r="K549" t="n">
        <v>0</v>
      </c>
      <c r="L549" t="n">
        <v>0.451</v>
      </c>
      <c r="M549" t="n">
        <v>0.549</v>
      </c>
    </row>
    <row r="550" spans="1:13">
      <c r="A550" s="1">
        <f>HYPERLINK("http://www.twitter.com/NathanBLawrence/status/980303659409068034", "980303659409068034")</f>
        <v/>
      </c>
      <c r="B550" s="2" t="n">
        <v>43191.19421296296</v>
      </c>
      <c r="C550" t="n">
        <v>0</v>
      </c>
      <c r="D550" t="n">
        <v>2034</v>
      </c>
      <c r="E550" t="s">
        <v>561</v>
      </c>
      <c r="F550">
        <f>HYPERLINK("http://pbs.twimg.com/media/DZq8ahAX4AAkZnL.jpg", "http://pbs.twimg.com/media/DZq8ahAX4AAkZnL.jpg")</f>
        <v/>
      </c>
      <c r="G550" t="s"/>
      <c r="H550" t="s"/>
      <c r="I550" t="s"/>
      <c r="J550" t="n">
        <v>-0.5994</v>
      </c>
      <c r="K550" t="n">
        <v>0.328</v>
      </c>
      <c r="L550" t="n">
        <v>0.672</v>
      </c>
      <c r="M550" t="n">
        <v>0</v>
      </c>
    </row>
    <row r="551" spans="1:13">
      <c r="A551" s="1">
        <f>HYPERLINK("http://www.twitter.com/NathanBLawrence/status/980302333157527558", "980302333157527558")</f>
        <v/>
      </c>
      <c r="B551" s="2" t="n">
        <v>43191.19055555556</v>
      </c>
      <c r="C551" t="n">
        <v>2</v>
      </c>
      <c r="D551" t="n">
        <v>0</v>
      </c>
      <c r="E551" t="s">
        <v>562</v>
      </c>
      <c r="F551" t="s"/>
      <c r="G551" t="s"/>
      <c r="H551" t="s"/>
      <c r="I551" t="s"/>
      <c r="J551" t="n">
        <v>0</v>
      </c>
      <c r="K551" t="n">
        <v>0</v>
      </c>
      <c r="L551" t="n">
        <v>1</v>
      </c>
      <c r="M551" t="n">
        <v>0</v>
      </c>
    </row>
    <row r="552" spans="1:13">
      <c r="A552" s="1">
        <f>HYPERLINK("http://www.twitter.com/NathanBLawrence/status/980297078143356929", "980297078143356929")</f>
        <v/>
      </c>
      <c r="B552" s="2" t="n">
        <v>43191.17605324074</v>
      </c>
      <c r="C552" t="n">
        <v>1</v>
      </c>
      <c r="D552" t="n">
        <v>0</v>
      </c>
      <c r="E552" t="s">
        <v>563</v>
      </c>
      <c r="F552" t="s"/>
      <c r="G552" t="s"/>
      <c r="H552" t="s"/>
      <c r="I552" t="s"/>
      <c r="J552" t="n">
        <v>0</v>
      </c>
      <c r="K552" t="n">
        <v>0</v>
      </c>
      <c r="L552" t="n">
        <v>1</v>
      </c>
      <c r="M552" t="n">
        <v>0</v>
      </c>
    </row>
    <row r="553" spans="1:13">
      <c r="A553" s="1">
        <f>HYPERLINK("http://www.twitter.com/NathanBLawrence/status/980296903903588353", "980296903903588353")</f>
        <v/>
      </c>
      <c r="B553" s="2" t="n">
        <v>43191.17556712963</v>
      </c>
      <c r="C553" t="n">
        <v>4</v>
      </c>
      <c r="D553" t="n">
        <v>2</v>
      </c>
      <c r="E553" t="s">
        <v>564</v>
      </c>
      <c r="F553" t="s"/>
      <c r="G553" t="s"/>
      <c r="H553" t="s"/>
      <c r="I553" t="s"/>
      <c r="J553" t="n">
        <v>0</v>
      </c>
      <c r="K553" t="n">
        <v>0</v>
      </c>
      <c r="L553" t="n">
        <v>1</v>
      </c>
      <c r="M553" t="n">
        <v>0</v>
      </c>
    </row>
    <row r="554" spans="1:13">
      <c r="A554" s="1">
        <f>HYPERLINK("http://www.twitter.com/NathanBLawrence/status/980279788509200385", "980279788509200385")</f>
        <v/>
      </c>
      <c r="B554" s="2" t="n">
        <v>43191.12833333333</v>
      </c>
      <c r="C554" t="n">
        <v>0</v>
      </c>
      <c r="D554" t="n">
        <v>0</v>
      </c>
      <c r="E554" t="s">
        <v>565</v>
      </c>
      <c r="F554" t="s"/>
      <c r="G554" t="s"/>
      <c r="H554" t="s"/>
      <c r="I554" t="s"/>
      <c r="J554" t="n">
        <v>0.1779</v>
      </c>
      <c r="K554" t="n">
        <v>0.207</v>
      </c>
      <c r="L554" t="n">
        <v>0.538</v>
      </c>
      <c r="M554" t="n">
        <v>0.255</v>
      </c>
    </row>
    <row r="555" spans="1:13">
      <c r="A555" s="1">
        <f>HYPERLINK("http://www.twitter.com/NathanBLawrence/status/980076955809837056", "980076955809837056")</f>
        <v/>
      </c>
      <c r="B555" s="2" t="n">
        <v>43190.56862268518</v>
      </c>
      <c r="C555" t="n">
        <v>0</v>
      </c>
      <c r="D555" t="n">
        <v>1</v>
      </c>
      <c r="E555" t="s">
        <v>566</v>
      </c>
      <c r="F555">
        <f>HYPERLINK("http://pbs.twimg.com/media/DZnq84IVoAATHuQ.jpg", "http://pbs.twimg.com/media/DZnq84IVoAATHuQ.jpg")</f>
        <v/>
      </c>
      <c r="G555" t="s"/>
      <c r="H555" t="s"/>
      <c r="I555" t="s"/>
      <c r="J555" t="n">
        <v>0</v>
      </c>
      <c r="K555" t="n">
        <v>0</v>
      </c>
      <c r="L555" t="n">
        <v>1</v>
      </c>
      <c r="M555" t="n">
        <v>0</v>
      </c>
    </row>
    <row r="556" spans="1:13">
      <c r="A556" s="1">
        <f>HYPERLINK("http://www.twitter.com/NathanBLawrence/status/979909094776737792", "979909094776737792")</f>
        <v/>
      </c>
      <c r="B556" s="2" t="n">
        <v>43190.10541666667</v>
      </c>
      <c r="C556" t="n">
        <v>0</v>
      </c>
      <c r="D556" t="n">
        <v>10163</v>
      </c>
      <c r="E556" t="s">
        <v>567</v>
      </c>
      <c r="F556" t="s"/>
      <c r="G556" t="s"/>
      <c r="H556" t="s"/>
      <c r="I556" t="s"/>
      <c r="J556" t="n">
        <v>-0.2023</v>
      </c>
      <c r="K556" t="n">
        <v>0.176</v>
      </c>
      <c r="L556" t="n">
        <v>0.6909999999999999</v>
      </c>
      <c r="M556" t="n">
        <v>0.133</v>
      </c>
    </row>
    <row r="557" spans="1:13">
      <c r="A557" s="1">
        <f>HYPERLINK("http://www.twitter.com/NathanBLawrence/status/979908823271034880", "979908823271034880")</f>
        <v/>
      </c>
      <c r="B557" s="2" t="n">
        <v>43190.10466435185</v>
      </c>
      <c r="C557" t="n">
        <v>0</v>
      </c>
      <c r="D557" t="n">
        <v>243</v>
      </c>
      <c r="E557" t="s">
        <v>568</v>
      </c>
      <c r="F557">
        <f>HYPERLINK("http://pbs.twimg.com/media/DZlPSn1UMAAYcVj.jpg", "http://pbs.twimg.com/media/DZlPSn1UMAAYcVj.jpg")</f>
        <v/>
      </c>
      <c r="G557" t="s"/>
      <c r="H557" t="s"/>
      <c r="I557" t="s"/>
      <c r="J557" t="n">
        <v>0</v>
      </c>
      <c r="K557" t="n">
        <v>0</v>
      </c>
      <c r="L557" t="n">
        <v>1</v>
      </c>
      <c r="M557" t="n">
        <v>0</v>
      </c>
    </row>
    <row r="558" spans="1:13">
      <c r="A558" s="1">
        <f>HYPERLINK("http://www.twitter.com/NathanBLawrence/status/979901471675371522", "979901471675371522")</f>
        <v/>
      </c>
      <c r="B558" s="2" t="n">
        <v>43190.08438657408</v>
      </c>
      <c r="C558" t="n">
        <v>0</v>
      </c>
      <c r="D558" t="n">
        <v>0</v>
      </c>
      <c r="E558" t="s">
        <v>569</v>
      </c>
      <c r="F558">
        <f>HYPERLINK("http://pbs.twimg.com/media/DZlPMICVQAARqaM.jpg", "http://pbs.twimg.com/media/DZlPMICVQAARqaM.jpg")</f>
        <v/>
      </c>
      <c r="G558" t="s"/>
      <c r="H558" t="s"/>
      <c r="I558" t="s"/>
      <c r="J558" t="n">
        <v>-0.2732</v>
      </c>
      <c r="K558" t="n">
        <v>0.174</v>
      </c>
      <c r="L558" t="n">
        <v>0.826</v>
      </c>
      <c r="M558" t="n">
        <v>0</v>
      </c>
    </row>
    <row r="559" spans="1:13">
      <c r="A559" s="1">
        <f>HYPERLINK("http://www.twitter.com/NathanBLawrence/status/979900499787943936", "979900499787943936")</f>
        <v/>
      </c>
      <c r="B559" s="2" t="n">
        <v>43190.08170138889</v>
      </c>
      <c r="C559" t="n">
        <v>0</v>
      </c>
      <c r="D559" t="n">
        <v>0</v>
      </c>
      <c r="E559" t="s">
        <v>570</v>
      </c>
      <c r="F559" t="s"/>
      <c r="G559" t="s"/>
      <c r="H559" t="s"/>
      <c r="I559" t="s"/>
      <c r="J559" t="n">
        <v>0.4201</v>
      </c>
      <c r="K559" t="n">
        <v>0</v>
      </c>
      <c r="L559" t="n">
        <v>0.642</v>
      </c>
      <c r="M559" t="n">
        <v>0.358</v>
      </c>
    </row>
    <row r="560" spans="1:13">
      <c r="A560" s="1">
        <f>HYPERLINK("http://www.twitter.com/NathanBLawrence/status/979887922928332800", "979887922928332800")</f>
        <v/>
      </c>
      <c r="B560" s="2" t="n">
        <v>43190.04699074074</v>
      </c>
      <c r="C560" t="n">
        <v>0</v>
      </c>
      <c r="D560" t="n">
        <v>2038</v>
      </c>
      <c r="E560" t="s">
        <v>571</v>
      </c>
      <c r="F560">
        <f>HYPERLINK("http://pbs.twimg.com/media/DZjiT5MWsAAJB9M.jpg", "http://pbs.twimg.com/media/DZjiT5MWsAAJB9M.jpg")</f>
        <v/>
      </c>
      <c r="G560">
        <f>HYPERLINK("http://pbs.twimg.com/media/DZjiT5GW0AI3QB1.jpg", "http://pbs.twimg.com/media/DZjiT5GW0AI3QB1.jpg")</f>
        <v/>
      </c>
      <c r="H560">
        <f>HYPERLINK("http://pbs.twimg.com/media/DZjiT4tXUAETvIo.jpg", "http://pbs.twimg.com/media/DZjiT4tXUAETvIo.jpg")</f>
        <v/>
      </c>
      <c r="I560" t="s"/>
      <c r="J560" t="n">
        <v>-0.5848</v>
      </c>
      <c r="K560" t="n">
        <v>0.231</v>
      </c>
      <c r="L560" t="n">
        <v>0.6909999999999999</v>
      </c>
      <c r="M560" t="n">
        <v>0.077</v>
      </c>
    </row>
    <row r="561" spans="1:13">
      <c r="A561" s="1">
        <f>HYPERLINK("http://www.twitter.com/NathanBLawrence/status/979885428655390720", "979885428655390720")</f>
        <v/>
      </c>
      <c r="B561" s="2" t="n">
        <v>43190.04011574074</v>
      </c>
      <c r="C561" t="n">
        <v>0</v>
      </c>
      <c r="D561" t="n">
        <v>0</v>
      </c>
      <c r="E561" t="s">
        <v>572</v>
      </c>
      <c r="F561" t="s"/>
      <c r="G561" t="s"/>
      <c r="H561" t="s"/>
      <c r="I561" t="s"/>
      <c r="J561" t="n">
        <v>0</v>
      </c>
      <c r="K561" t="n">
        <v>0</v>
      </c>
      <c r="L561" t="n">
        <v>1</v>
      </c>
      <c r="M561" t="n">
        <v>0</v>
      </c>
    </row>
    <row r="562" spans="1:13">
      <c r="A562" s="1">
        <f>HYPERLINK("http://www.twitter.com/NathanBLawrence/status/979848513885483008", "979848513885483008")</f>
        <v/>
      </c>
      <c r="B562" s="2" t="n">
        <v>43189.93825231482</v>
      </c>
      <c r="C562" t="n">
        <v>1</v>
      </c>
      <c r="D562" t="n">
        <v>0</v>
      </c>
      <c r="E562" t="s">
        <v>573</v>
      </c>
      <c r="F562" t="s"/>
      <c r="G562" t="s"/>
      <c r="H562" t="s"/>
      <c r="I562" t="s"/>
      <c r="J562" t="n">
        <v>0.5106000000000001</v>
      </c>
      <c r="K562" t="n">
        <v>0</v>
      </c>
      <c r="L562" t="n">
        <v>0.845</v>
      </c>
      <c r="M562" t="n">
        <v>0.155</v>
      </c>
    </row>
    <row r="563" spans="1:13">
      <c r="A563" s="1">
        <f>HYPERLINK("http://www.twitter.com/NathanBLawrence/status/979772676473581569", "979772676473581569")</f>
        <v/>
      </c>
      <c r="B563" s="2" t="n">
        <v>43189.72898148148</v>
      </c>
      <c r="C563" t="n">
        <v>0</v>
      </c>
      <c r="D563" t="n">
        <v>0</v>
      </c>
      <c r="E563" t="s">
        <v>574</v>
      </c>
      <c r="F563" t="s"/>
      <c r="G563" t="s"/>
      <c r="H563" t="s"/>
      <c r="I563" t="s"/>
      <c r="J563" t="n">
        <v>0</v>
      </c>
      <c r="K563" t="n">
        <v>0</v>
      </c>
      <c r="L563" t="n">
        <v>1</v>
      </c>
      <c r="M563" t="n">
        <v>0</v>
      </c>
    </row>
    <row r="564" spans="1:13">
      <c r="A564" s="1">
        <f>HYPERLINK("http://www.twitter.com/NathanBLawrence/status/979768516193800193", "979768516193800193")</f>
        <v/>
      </c>
      <c r="B564" s="2" t="n">
        <v>43189.7175</v>
      </c>
      <c r="C564" t="n">
        <v>0</v>
      </c>
      <c r="D564" t="n">
        <v>0</v>
      </c>
      <c r="E564" t="s">
        <v>575</v>
      </c>
      <c r="F564" t="s"/>
      <c r="G564" t="s"/>
      <c r="H564" t="s"/>
      <c r="I564" t="s"/>
      <c r="J564" t="n">
        <v>0</v>
      </c>
      <c r="K564" t="n">
        <v>0</v>
      </c>
      <c r="L564" t="n">
        <v>1</v>
      </c>
      <c r="M564" t="n">
        <v>0</v>
      </c>
    </row>
    <row r="565" spans="1:13">
      <c r="A565" s="1">
        <f>HYPERLINK("http://www.twitter.com/NathanBLawrence/status/979577409249955840", "979577409249955840")</f>
        <v/>
      </c>
      <c r="B565" s="2" t="n">
        <v>43189.19013888889</v>
      </c>
      <c r="C565" t="n">
        <v>0</v>
      </c>
      <c r="D565" t="n">
        <v>0</v>
      </c>
      <c r="E565" t="s">
        <v>576</v>
      </c>
      <c r="F565" t="s"/>
      <c r="G565" t="s"/>
      <c r="H565" t="s"/>
      <c r="I565" t="s"/>
      <c r="J565" t="n">
        <v>-0.7003</v>
      </c>
      <c r="K565" t="n">
        <v>0.245</v>
      </c>
      <c r="L565" t="n">
        <v>0.755</v>
      </c>
      <c r="M565" t="n">
        <v>0</v>
      </c>
    </row>
    <row r="566" spans="1:13">
      <c r="A566" s="1">
        <f>HYPERLINK("http://www.twitter.com/NathanBLawrence/status/979549589421346816", "979549589421346816")</f>
        <v/>
      </c>
      <c r="B566" s="2" t="n">
        <v>43189.11336805556</v>
      </c>
      <c r="C566" t="n">
        <v>0</v>
      </c>
      <c r="D566" t="n">
        <v>0</v>
      </c>
      <c r="E566" t="s">
        <v>577</v>
      </c>
      <c r="F566" t="s"/>
      <c r="G566" t="s"/>
      <c r="H566" t="s"/>
      <c r="I566" t="s"/>
      <c r="J566" t="n">
        <v>0.4404</v>
      </c>
      <c r="K566" t="n">
        <v>0</v>
      </c>
      <c r="L566" t="n">
        <v>0.791</v>
      </c>
      <c r="M566" t="n">
        <v>0.209</v>
      </c>
    </row>
    <row r="567" spans="1:13">
      <c r="A567" s="1">
        <f>HYPERLINK("http://www.twitter.com/NathanBLawrence/status/979541385245229057", "979541385245229057")</f>
        <v/>
      </c>
      <c r="B567" s="2" t="n">
        <v>43189.09072916667</v>
      </c>
      <c r="C567" t="n">
        <v>1</v>
      </c>
      <c r="D567" t="n">
        <v>0</v>
      </c>
      <c r="E567" t="s">
        <v>578</v>
      </c>
      <c r="F567" t="s"/>
      <c r="G567" t="s"/>
      <c r="H567" t="s"/>
      <c r="I567" t="s"/>
      <c r="J567" t="n">
        <v>0</v>
      </c>
      <c r="K567" t="n">
        <v>0</v>
      </c>
      <c r="L567" t="n">
        <v>1</v>
      </c>
      <c r="M567" t="n">
        <v>0</v>
      </c>
    </row>
    <row r="568" spans="1:13">
      <c r="A568" s="1">
        <f>HYPERLINK("http://www.twitter.com/NathanBLawrence/status/979516167088984064", "979516167088984064")</f>
        <v/>
      </c>
      <c r="B568" s="2" t="n">
        <v>43189.02114583334</v>
      </c>
      <c r="C568" t="n">
        <v>1</v>
      </c>
      <c r="D568" t="n">
        <v>1</v>
      </c>
      <c r="E568" t="s">
        <v>579</v>
      </c>
      <c r="F568" t="s"/>
      <c r="G568" t="s"/>
      <c r="H568" t="s"/>
      <c r="I568" t="s"/>
      <c r="J568" t="n">
        <v>0.6705</v>
      </c>
      <c r="K568" t="n">
        <v>0</v>
      </c>
      <c r="L568" t="n">
        <v>0.732</v>
      </c>
      <c r="M568" t="n">
        <v>0.268</v>
      </c>
    </row>
    <row r="569" spans="1:13">
      <c r="A569" s="1">
        <f>HYPERLINK("http://www.twitter.com/NathanBLawrence/status/979513856375574529", "979513856375574529")</f>
        <v/>
      </c>
      <c r="B569" s="2" t="n">
        <v>43189.01476851852</v>
      </c>
      <c r="C569" t="n">
        <v>0</v>
      </c>
      <c r="D569" t="n">
        <v>0</v>
      </c>
      <c r="E569" t="s">
        <v>580</v>
      </c>
      <c r="F569" t="s"/>
      <c r="G569" t="s"/>
      <c r="H569" t="s"/>
      <c r="I569" t="s"/>
      <c r="J569" t="n">
        <v>0.4939</v>
      </c>
      <c r="K569" t="n">
        <v>0</v>
      </c>
      <c r="L569" t="n">
        <v>0.61</v>
      </c>
      <c r="M569" t="n">
        <v>0.39</v>
      </c>
    </row>
    <row r="570" spans="1:13">
      <c r="A570" s="1">
        <f>HYPERLINK("http://www.twitter.com/NathanBLawrence/status/979513471288205312", "979513471288205312")</f>
        <v/>
      </c>
      <c r="B570" s="2" t="n">
        <v>43189.01370370371</v>
      </c>
      <c r="C570" t="n">
        <v>0</v>
      </c>
      <c r="D570" t="n">
        <v>0</v>
      </c>
      <c r="E570" t="s">
        <v>581</v>
      </c>
      <c r="F570" t="s"/>
      <c r="G570" t="s"/>
      <c r="H570" t="s"/>
      <c r="I570" t="s"/>
      <c r="J570" t="n">
        <v>-0.4939</v>
      </c>
      <c r="K570" t="n">
        <v>0.262</v>
      </c>
      <c r="L570" t="n">
        <v>0.738</v>
      </c>
      <c r="M570" t="n">
        <v>0</v>
      </c>
    </row>
    <row r="571" spans="1:13">
      <c r="A571" s="1">
        <f>HYPERLINK("http://www.twitter.com/NathanBLawrence/status/979430236088651777", "979430236088651777")</f>
        <v/>
      </c>
      <c r="B571" s="2" t="n">
        <v>43188.7840162037</v>
      </c>
      <c r="C571" t="n">
        <v>0</v>
      </c>
      <c r="D571" t="n">
        <v>1176</v>
      </c>
      <c r="E571" t="s">
        <v>582</v>
      </c>
      <c r="F571" t="s"/>
      <c r="G571" t="s"/>
      <c r="H571" t="s"/>
      <c r="I571" t="s"/>
      <c r="J571" t="n">
        <v>0.0516</v>
      </c>
      <c r="K571" t="n">
        <v>0.101</v>
      </c>
      <c r="L571" t="n">
        <v>0.789</v>
      </c>
      <c r="M571" t="n">
        <v>0.11</v>
      </c>
    </row>
    <row r="572" spans="1:13">
      <c r="A572" s="1">
        <f>HYPERLINK("http://www.twitter.com/NathanBLawrence/status/979416015321862145", "979416015321862145")</f>
        <v/>
      </c>
      <c r="B572" s="2" t="n">
        <v>43188.74478009259</v>
      </c>
      <c r="C572" t="n">
        <v>1</v>
      </c>
      <c r="D572" t="n">
        <v>0</v>
      </c>
      <c r="E572" t="s">
        <v>583</v>
      </c>
      <c r="F572" t="s"/>
      <c r="G572" t="s"/>
      <c r="H572" t="s"/>
      <c r="I572" t="s"/>
      <c r="J572" t="n">
        <v>0</v>
      </c>
      <c r="K572" t="n">
        <v>0</v>
      </c>
      <c r="L572" t="n">
        <v>1</v>
      </c>
      <c r="M572" t="n">
        <v>0</v>
      </c>
    </row>
    <row r="573" spans="1:13">
      <c r="A573" s="1">
        <f>HYPERLINK("http://www.twitter.com/NathanBLawrence/status/979362410803924995", "979362410803924995")</f>
        <v/>
      </c>
      <c r="B573" s="2" t="n">
        <v>43188.59686342593</v>
      </c>
      <c r="C573" t="n">
        <v>0</v>
      </c>
      <c r="D573" t="n">
        <v>0</v>
      </c>
      <c r="E573" t="s">
        <v>584</v>
      </c>
      <c r="F573" t="s"/>
      <c r="G573" t="s"/>
      <c r="H573" t="s"/>
      <c r="I573" t="s"/>
      <c r="J573" t="n">
        <v>0</v>
      </c>
      <c r="K573" t="n">
        <v>0</v>
      </c>
      <c r="L573" t="n">
        <v>1</v>
      </c>
      <c r="M573" t="n">
        <v>0</v>
      </c>
    </row>
    <row r="574" spans="1:13">
      <c r="A574" s="1">
        <f>HYPERLINK("http://www.twitter.com/NathanBLawrence/status/979354164093440001", "979354164093440001")</f>
        <v/>
      </c>
      <c r="B574" s="2" t="n">
        <v>43188.57409722222</v>
      </c>
      <c r="C574" t="n">
        <v>2</v>
      </c>
      <c r="D574" t="n">
        <v>2</v>
      </c>
      <c r="E574" t="s">
        <v>585</v>
      </c>
      <c r="F574" t="s"/>
      <c r="G574" t="s"/>
      <c r="H574" t="s"/>
      <c r="I574" t="s"/>
      <c r="J574" t="n">
        <v>0.4019</v>
      </c>
      <c r="K574" t="n">
        <v>0</v>
      </c>
      <c r="L574" t="n">
        <v>0.92</v>
      </c>
      <c r="M574" t="n">
        <v>0.08</v>
      </c>
    </row>
    <row r="575" spans="1:13">
      <c r="A575" s="1">
        <f>HYPERLINK("http://www.twitter.com/NathanBLawrence/status/979195271606288384", "979195271606288384")</f>
        <v/>
      </c>
      <c r="B575" s="2" t="n">
        <v>43188.13563657407</v>
      </c>
      <c r="C575" t="n">
        <v>0</v>
      </c>
      <c r="D575" t="n">
        <v>0</v>
      </c>
      <c r="E575" t="s">
        <v>586</v>
      </c>
      <c r="F575" t="s"/>
      <c r="G575" t="s"/>
      <c r="H575" t="s"/>
      <c r="I575" t="s"/>
      <c r="J575" t="n">
        <v>0</v>
      </c>
      <c r="K575" t="n">
        <v>0</v>
      </c>
      <c r="L575" t="n">
        <v>1</v>
      </c>
      <c r="M575" t="n">
        <v>0</v>
      </c>
    </row>
    <row r="576" spans="1:13">
      <c r="A576" s="1">
        <f>HYPERLINK("http://www.twitter.com/NathanBLawrence/status/979187273647509504", "979187273647509504")</f>
        <v/>
      </c>
      <c r="B576" s="2" t="n">
        <v>43188.11357638889</v>
      </c>
      <c r="C576" t="n">
        <v>0</v>
      </c>
      <c r="D576" t="n">
        <v>0</v>
      </c>
      <c r="E576" t="s">
        <v>587</v>
      </c>
      <c r="F576" t="s"/>
      <c r="G576" t="s"/>
      <c r="H576" t="s"/>
      <c r="I576" t="s"/>
      <c r="J576" t="n">
        <v>0</v>
      </c>
      <c r="K576" t="n">
        <v>0</v>
      </c>
      <c r="L576" t="n">
        <v>1</v>
      </c>
      <c r="M576" t="n">
        <v>0</v>
      </c>
    </row>
    <row r="577" spans="1:13">
      <c r="A577" s="1">
        <f>HYPERLINK("http://www.twitter.com/NathanBLawrence/status/979185686304575488", "979185686304575488")</f>
        <v/>
      </c>
      <c r="B577" s="2" t="n">
        <v>43188.10918981482</v>
      </c>
      <c r="C577" t="n">
        <v>3</v>
      </c>
      <c r="D577" t="n">
        <v>0</v>
      </c>
      <c r="E577" t="s">
        <v>588</v>
      </c>
      <c r="F577" t="s"/>
      <c r="G577" t="s"/>
      <c r="H577" t="s"/>
      <c r="I577" t="s"/>
      <c r="J577" t="n">
        <v>0.296</v>
      </c>
      <c r="K577" t="n">
        <v>0.129</v>
      </c>
      <c r="L577" t="n">
        <v>0.6899999999999999</v>
      </c>
      <c r="M577" t="n">
        <v>0.181</v>
      </c>
    </row>
    <row r="578" spans="1:13">
      <c r="A578" s="1">
        <f>HYPERLINK("http://www.twitter.com/NathanBLawrence/status/979176772267921408", "979176772267921408")</f>
        <v/>
      </c>
      <c r="B578" s="2" t="n">
        <v>43188.08459490741</v>
      </c>
      <c r="C578" t="n">
        <v>0</v>
      </c>
      <c r="D578" t="n">
        <v>0</v>
      </c>
      <c r="E578" t="s">
        <v>589</v>
      </c>
      <c r="F578" t="s"/>
      <c r="G578" t="s"/>
      <c r="H578" t="s"/>
      <c r="I578" t="s"/>
      <c r="J578" t="n">
        <v>0.7163</v>
      </c>
      <c r="K578" t="n">
        <v>0</v>
      </c>
      <c r="L578" t="n">
        <v>0.707</v>
      </c>
      <c r="M578" t="n">
        <v>0.293</v>
      </c>
    </row>
    <row r="579" spans="1:13">
      <c r="A579" s="1">
        <f>HYPERLINK("http://www.twitter.com/NathanBLawrence/status/979170661322166272", "979170661322166272")</f>
        <v/>
      </c>
      <c r="B579" s="2" t="n">
        <v>43188.06773148148</v>
      </c>
      <c r="C579" t="n">
        <v>0</v>
      </c>
      <c r="D579" t="n">
        <v>0</v>
      </c>
      <c r="E579" t="s">
        <v>590</v>
      </c>
      <c r="F579" t="s"/>
      <c r="G579" t="s"/>
      <c r="H579" t="s"/>
      <c r="I579" t="s"/>
      <c r="J579" t="n">
        <v>0.4588</v>
      </c>
      <c r="K579" t="n">
        <v>0</v>
      </c>
      <c r="L579" t="n">
        <v>0.667</v>
      </c>
      <c r="M579" t="n">
        <v>0.333</v>
      </c>
    </row>
    <row r="580" spans="1:13">
      <c r="A580" s="1">
        <f>HYPERLINK("http://www.twitter.com/NathanBLawrence/status/979168908350492672", "979168908350492672")</f>
        <v/>
      </c>
      <c r="B580" s="2" t="n">
        <v>43188.06289351852</v>
      </c>
      <c r="C580" t="n">
        <v>0</v>
      </c>
      <c r="D580" t="n">
        <v>0</v>
      </c>
      <c r="E580" t="s">
        <v>591</v>
      </c>
      <c r="F580">
        <f>HYPERLINK("http://pbs.twimg.com/media/DZa07DRVAAAyddc.jpg", "http://pbs.twimg.com/media/DZa07DRVAAAyddc.jpg")</f>
        <v/>
      </c>
      <c r="G580" t="s"/>
      <c r="H580" t="s"/>
      <c r="I580" t="s"/>
      <c r="J580" t="n">
        <v>0</v>
      </c>
      <c r="K580" t="n">
        <v>0</v>
      </c>
      <c r="L580" t="n">
        <v>1</v>
      </c>
      <c r="M580" t="n">
        <v>0</v>
      </c>
    </row>
    <row r="581" spans="1:13">
      <c r="A581" s="1">
        <f>HYPERLINK("http://www.twitter.com/NathanBLawrence/status/979094019841183746", "979094019841183746")</f>
        <v/>
      </c>
      <c r="B581" s="2" t="n">
        <v>43187.85623842593</v>
      </c>
      <c r="C581" t="n">
        <v>2</v>
      </c>
      <c r="D581" t="n">
        <v>0</v>
      </c>
      <c r="E581" t="s">
        <v>592</v>
      </c>
      <c r="F581" t="s"/>
      <c r="G581" t="s"/>
      <c r="H581" t="s"/>
      <c r="I581" t="s"/>
      <c r="J581" t="n">
        <v>0</v>
      </c>
      <c r="K581" t="n">
        <v>0</v>
      </c>
      <c r="L581" t="n">
        <v>1</v>
      </c>
      <c r="M581" t="n">
        <v>0</v>
      </c>
    </row>
    <row r="582" spans="1:13">
      <c r="A582" s="1">
        <f>HYPERLINK("http://www.twitter.com/NathanBLawrence/status/979091915609174016", "979091915609174016")</f>
        <v/>
      </c>
      <c r="B582" s="2" t="n">
        <v>43187.85042824074</v>
      </c>
      <c r="C582" t="n">
        <v>0</v>
      </c>
      <c r="D582" t="n">
        <v>0</v>
      </c>
      <c r="E582" t="s">
        <v>593</v>
      </c>
      <c r="F582" t="s"/>
      <c r="G582" t="s"/>
      <c r="H582" t="s"/>
      <c r="I582" t="s"/>
      <c r="J582" t="n">
        <v>0</v>
      </c>
      <c r="K582" t="n">
        <v>0</v>
      </c>
      <c r="L582" t="n">
        <v>1</v>
      </c>
      <c r="M582" t="n">
        <v>0</v>
      </c>
    </row>
    <row r="583" spans="1:13">
      <c r="A583" s="1">
        <f>HYPERLINK("http://www.twitter.com/NathanBLawrence/status/979040688481427457", "979040688481427457")</f>
        <v/>
      </c>
      <c r="B583" s="2" t="n">
        <v>43187.70907407408</v>
      </c>
      <c r="C583" t="n">
        <v>1</v>
      </c>
      <c r="D583" t="n">
        <v>0</v>
      </c>
      <c r="E583" t="s">
        <v>594</v>
      </c>
      <c r="F583" t="s"/>
      <c r="G583" t="s"/>
      <c r="H583" t="s"/>
      <c r="I583" t="s"/>
      <c r="J583" t="n">
        <v>0</v>
      </c>
      <c r="K583" t="n">
        <v>0</v>
      </c>
      <c r="L583" t="n">
        <v>1</v>
      </c>
      <c r="M583" t="n">
        <v>0</v>
      </c>
    </row>
    <row r="584" spans="1:13">
      <c r="A584" s="1">
        <f>HYPERLINK("http://www.twitter.com/NathanBLawrence/status/978989195711668224", "978989195711668224")</f>
        <v/>
      </c>
      <c r="B584" s="2" t="n">
        <v>43187.56697916667</v>
      </c>
      <c r="C584" t="n">
        <v>1</v>
      </c>
      <c r="D584" t="n">
        <v>0</v>
      </c>
      <c r="E584" t="s">
        <v>595</v>
      </c>
      <c r="F584" t="s"/>
      <c r="G584" t="s"/>
      <c r="H584" t="s"/>
      <c r="I584" t="s"/>
      <c r="J584" t="n">
        <v>0</v>
      </c>
      <c r="K584" t="n">
        <v>0</v>
      </c>
      <c r="L584" t="n">
        <v>1</v>
      </c>
      <c r="M584" t="n">
        <v>0</v>
      </c>
    </row>
    <row r="585" spans="1:13">
      <c r="A585" s="1">
        <f>HYPERLINK("http://www.twitter.com/NathanBLawrence/status/978983031330484224", "978983031330484224")</f>
        <v/>
      </c>
      <c r="B585" s="2" t="n">
        <v>43187.54996527778</v>
      </c>
      <c r="C585" t="n">
        <v>3</v>
      </c>
      <c r="D585" t="n">
        <v>2</v>
      </c>
      <c r="E585" t="s">
        <v>596</v>
      </c>
      <c r="F585" t="s"/>
      <c r="G585" t="s"/>
      <c r="H585" t="s"/>
      <c r="I585" t="s"/>
      <c r="J585" t="n">
        <v>0.8779</v>
      </c>
      <c r="K585" t="n">
        <v>0</v>
      </c>
      <c r="L585" t="n">
        <v>0.794</v>
      </c>
      <c r="M585" t="n">
        <v>0.206</v>
      </c>
    </row>
    <row r="586" spans="1:13">
      <c r="A586" s="1">
        <f>HYPERLINK("http://www.twitter.com/NathanBLawrence/status/978823604484890624", "978823604484890624")</f>
        <v/>
      </c>
      <c r="B586" s="2" t="n">
        <v>43187.11003472222</v>
      </c>
      <c r="C586" t="n">
        <v>3</v>
      </c>
      <c r="D586" t="n">
        <v>0</v>
      </c>
      <c r="E586" t="s">
        <v>597</v>
      </c>
      <c r="F586" t="s"/>
      <c r="G586" t="s"/>
      <c r="H586" t="s"/>
      <c r="I586" t="s"/>
      <c r="J586" t="n">
        <v>0.5719</v>
      </c>
      <c r="K586" t="n">
        <v>0</v>
      </c>
      <c r="L586" t="n">
        <v>0.6840000000000001</v>
      </c>
      <c r="M586" t="n">
        <v>0.316</v>
      </c>
    </row>
    <row r="587" spans="1:13">
      <c r="A587" s="1">
        <f>HYPERLINK("http://www.twitter.com/NathanBLawrence/status/978821974402195457", "978821974402195457")</f>
        <v/>
      </c>
      <c r="B587" s="2" t="n">
        <v>43187.1055324074</v>
      </c>
      <c r="C587" t="n">
        <v>0</v>
      </c>
      <c r="D587" t="n">
        <v>0</v>
      </c>
      <c r="E587" t="s">
        <v>598</v>
      </c>
      <c r="F587" t="s"/>
      <c r="G587" t="s"/>
      <c r="H587" t="s"/>
      <c r="I587" t="s"/>
      <c r="J587" t="n">
        <v>0.296</v>
      </c>
      <c r="K587" t="n">
        <v>0.074</v>
      </c>
      <c r="L587" t="n">
        <v>0.806</v>
      </c>
      <c r="M587" t="n">
        <v>0.12</v>
      </c>
    </row>
    <row r="588" spans="1:13">
      <c r="A588" s="1">
        <f>HYPERLINK("http://www.twitter.com/NathanBLawrence/status/978818883611217920", "978818883611217920")</f>
        <v/>
      </c>
      <c r="B588" s="2" t="n">
        <v>43187.09701388889</v>
      </c>
      <c r="C588" t="n">
        <v>0</v>
      </c>
      <c r="D588" t="n">
        <v>4714</v>
      </c>
      <c r="E588" t="s">
        <v>599</v>
      </c>
      <c r="F588" t="s"/>
      <c r="G588" t="s"/>
      <c r="H588" t="s"/>
      <c r="I588" t="s"/>
      <c r="J588" t="n">
        <v>0.128</v>
      </c>
      <c r="K588" t="n">
        <v>0.101</v>
      </c>
      <c r="L588" t="n">
        <v>0.773</v>
      </c>
      <c r="M588" t="n">
        <v>0.126</v>
      </c>
    </row>
    <row r="589" spans="1:13">
      <c r="A589" s="1">
        <f>HYPERLINK("http://www.twitter.com/NathanBLawrence/status/978815840715001856", "978815840715001856")</f>
        <v/>
      </c>
      <c r="B589" s="2" t="n">
        <v>43187.08861111111</v>
      </c>
      <c r="C589" t="n">
        <v>3</v>
      </c>
      <c r="D589" t="n">
        <v>0</v>
      </c>
      <c r="E589" t="s">
        <v>600</v>
      </c>
      <c r="F589" t="s"/>
      <c r="G589" t="s"/>
      <c r="H589" t="s"/>
      <c r="I589" t="s"/>
      <c r="J589" t="n">
        <v>0.3612</v>
      </c>
      <c r="K589" t="n">
        <v>0</v>
      </c>
      <c r="L589" t="n">
        <v>0.788</v>
      </c>
      <c r="M589" t="n">
        <v>0.212</v>
      </c>
    </row>
    <row r="590" spans="1:13">
      <c r="A590" s="1">
        <f>HYPERLINK("http://www.twitter.com/NathanBLawrence/status/978810590423670784", "978810590423670784")</f>
        <v/>
      </c>
      <c r="B590" s="2" t="n">
        <v>43187.07412037037</v>
      </c>
      <c r="C590" t="n">
        <v>1</v>
      </c>
      <c r="D590" t="n">
        <v>0</v>
      </c>
      <c r="E590" t="s">
        <v>601</v>
      </c>
      <c r="F590" t="s"/>
      <c r="G590" t="s"/>
      <c r="H590" t="s"/>
      <c r="I590" t="s"/>
      <c r="J590" t="n">
        <v>-0.3182</v>
      </c>
      <c r="K590" t="n">
        <v>0.187</v>
      </c>
      <c r="L590" t="n">
        <v>0.8129999999999999</v>
      </c>
      <c r="M590" t="n">
        <v>0</v>
      </c>
    </row>
    <row r="591" spans="1:13">
      <c r="A591" s="1">
        <f>HYPERLINK("http://www.twitter.com/NathanBLawrence/status/978810304694976512", "978810304694976512")</f>
        <v/>
      </c>
      <c r="B591" s="2" t="n">
        <v>43187.07333333333</v>
      </c>
      <c r="C591" t="n">
        <v>1</v>
      </c>
      <c r="D591" t="n">
        <v>0</v>
      </c>
      <c r="E591" t="s">
        <v>602</v>
      </c>
      <c r="F591" t="s"/>
      <c r="G591" t="s"/>
      <c r="H591" t="s"/>
      <c r="I591" t="s"/>
      <c r="J591" t="n">
        <v>0.3182</v>
      </c>
      <c r="K591" t="n">
        <v>0</v>
      </c>
      <c r="L591" t="n">
        <v>0.777</v>
      </c>
      <c r="M591" t="n">
        <v>0.223</v>
      </c>
    </row>
    <row r="592" spans="1:13">
      <c r="A592" s="1">
        <f>HYPERLINK("http://www.twitter.com/NathanBLawrence/status/978675704530382849", "978675704530382849")</f>
        <v/>
      </c>
      <c r="B592" s="2" t="n">
        <v>43186.70190972222</v>
      </c>
      <c r="C592" t="n">
        <v>0</v>
      </c>
      <c r="D592" t="n">
        <v>0</v>
      </c>
      <c r="E592" t="s">
        <v>603</v>
      </c>
      <c r="F592" t="s"/>
      <c r="G592" t="s"/>
      <c r="H592" t="s"/>
      <c r="I592" t="s"/>
      <c r="J592" t="n">
        <v>0</v>
      </c>
      <c r="K592" t="n">
        <v>0</v>
      </c>
      <c r="L592" t="n">
        <v>1</v>
      </c>
      <c r="M592" t="n">
        <v>0</v>
      </c>
    </row>
    <row r="593" spans="1:13">
      <c r="A593" s="1">
        <f>HYPERLINK("http://www.twitter.com/NathanBLawrence/status/978672506642010112", "978672506642010112")</f>
        <v/>
      </c>
      <c r="B593" s="2" t="n">
        <v>43186.69309027777</v>
      </c>
      <c r="C593" t="n">
        <v>0</v>
      </c>
      <c r="D593" t="n">
        <v>13</v>
      </c>
      <c r="E593" t="s">
        <v>604</v>
      </c>
      <c r="F593">
        <f>HYPERLINK("http://pbs.twimg.com/media/DZTjDmnV4AE-Li_.jpg", "http://pbs.twimg.com/media/DZTjDmnV4AE-Li_.jpg")</f>
        <v/>
      </c>
      <c r="G593" t="s"/>
      <c r="H593" t="s"/>
      <c r="I593" t="s"/>
      <c r="J593" t="n">
        <v>-0.4199</v>
      </c>
      <c r="K593" t="n">
        <v>0.108</v>
      </c>
      <c r="L593" t="n">
        <v>0.892</v>
      </c>
      <c r="M593" t="n">
        <v>0</v>
      </c>
    </row>
    <row r="594" spans="1:13">
      <c r="A594" s="1">
        <f>HYPERLINK("http://www.twitter.com/NathanBLawrence/status/978661264707801090", "978661264707801090")</f>
        <v/>
      </c>
      <c r="B594" s="2" t="n">
        <v>43186.66206018518</v>
      </c>
      <c r="C594" t="n">
        <v>3</v>
      </c>
      <c r="D594" t="n">
        <v>0</v>
      </c>
      <c r="E594" t="s">
        <v>605</v>
      </c>
      <c r="F594">
        <f>HYPERLINK("http://pbs.twimg.com/media/DZTnOAkWAAAAXWH.jpg", "http://pbs.twimg.com/media/DZTnOAkWAAAAXWH.jpg")</f>
        <v/>
      </c>
      <c r="G594" t="s"/>
      <c r="H594" t="s"/>
      <c r="I594" t="s"/>
      <c r="J594" t="n">
        <v>0.6908</v>
      </c>
      <c r="K594" t="n">
        <v>0</v>
      </c>
      <c r="L594" t="n">
        <v>0.787</v>
      </c>
      <c r="M594" t="n">
        <v>0.213</v>
      </c>
    </row>
    <row r="595" spans="1:13">
      <c r="A595" s="1">
        <f>HYPERLINK("http://www.twitter.com/NathanBLawrence/status/978578895179042816", "978578895179042816")</f>
        <v/>
      </c>
      <c r="B595" s="2" t="n">
        <v>43186.43476851852</v>
      </c>
      <c r="C595" t="n">
        <v>1</v>
      </c>
      <c r="D595" t="n">
        <v>0</v>
      </c>
      <c r="E595" t="s">
        <v>606</v>
      </c>
      <c r="F595" t="s"/>
      <c r="G595" t="s"/>
      <c r="H595" t="s"/>
      <c r="I595" t="s"/>
      <c r="J595" t="n">
        <v>0</v>
      </c>
      <c r="K595" t="n">
        <v>0</v>
      </c>
      <c r="L595" t="n">
        <v>1</v>
      </c>
      <c r="M595" t="n">
        <v>0</v>
      </c>
    </row>
    <row r="596" spans="1:13">
      <c r="A596" s="1">
        <f>HYPERLINK("http://www.twitter.com/NathanBLawrence/status/978471639171174401", "978471639171174401")</f>
        <v/>
      </c>
      <c r="B596" s="2" t="n">
        <v>43186.1387962963</v>
      </c>
      <c r="C596" t="n">
        <v>1</v>
      </c>
      <c r="D596" t="n">
        <v>0</v>
      </c>
      <c r="E596" t="s">
        <v>607</v>
      </c>
      <c r="F596" t="s"/>
      <c r="G596" t="s"/>
      <c r="H596" t="s"/>
      <c r="I596" t="s"/>
      <c r="J596" t="n">
        <v>0</v>
      </c>
      <c r="K596" t="n">
        <v>0</v>
      </c>
      <c r="L596" t="n">
        <v>1</v>
      </c>
      <c r="M596" t="n">
        <v>0</v>
      </c>
    </row>
    <row r="597" spans="1:13">
      <c r="A597" s="1">
        <f>HYPERLINK("http://www.twitter.com/NathanBLawrence/status/978468492218335232", "978468492218335232")</f>
        <v/>
      </c>
      <c r="B597" s="2" t="n">
        <v>43186.13011574074</v>
      </c>
      <c r="C597" t="n">
        <v>0</v>
      </c>
      <c r="D597" t="n">
        <v>0</v>
      </c>
      <c r="E597" t="s">
        <v>608</v>
      </c>
      <c r="F597" t="s"/>
      <c r="G597" t="s"/>
      <c r="H597" t="s"/>
      <c r="I597" t="s"/>
      <c r="J597" t="n">
        <v>-0.4404</v>
      </c>
      <c r="K597" t="n">
        <v>0.42</v>
      </c>
      <c r="L597" t="n">
        <v>0.58</v>
      </c>
      <c r="M597" t="n">
        <v>0</v>
      </c>
    </row>
    <row r="598" spans="1:13">
      <c r="A598" s="1">
        <f>HYPERLINK("http://www.twitter.com/NathanBLawrence/status/978462497761120257", "978462497761120257")</f>
        <v/>
      </c>
      <c r="B598" s="2" t="n">
        <v>43186.11357638889</v>
      </c>
      <c r="C598" t="n">
        <v>0</v>
      </c>
      <c r="D598" t="n">
        <v>498</v>
      </c>
      <c r="E598" t="s">
        <v>609</v>
      </c>
      <c r="F598" t="s"/>
      <c r="G598" t="s"/>
      <c r="H598" t="s"/>
      <c r="I598" t="s"/>
      <c r="J598" t="n">
        <v>-0.802</v>
      </c>
      <c r="K598" t="n">
        <v>0.325</v>
      </c>
      <c r="L598" t="n">
        <v>0.675</v>
      </c>
      <c r="M598" t="n">
        <v>0</v>
      </c>
    </row>
    <row r="599" spans="1:13">
      <c r="A599" s="1">
        <f>HYPERLINK("http://www.twitter.com/NathanBLawrence/status/978458421241540608", "978458421241540608")</f>
        <v/>
      </c>
      <c r="B599" s="2" t="n">
        <v>43186.10232638889</v>
      </c>
      <c r="C599" t="n">
        <v>1</v>
      </c>
      <c r="D599" t="n">
        <v>0</v>
      </c>
      <c r="E599" t="s">
        <v>610</v>
      </c>
      <c r="F599" t="s"/>
      <c r="G599" t="s"/>
      <c r="H599" t="s"/>
      <c r="I599" t="s"/>
      <c r="J599" t="n">
        <v>0</v>
      </c>
      <c r="K599" t="n">
        <v>0</v>
      </c>
      <c r="L599" t="n">
        <v>1</v>
      </c>
      <c r="M599" t="n">
        <v>0</v>
      </c>
    </row>
    <row r="600" spans="1:13">
      <c r="A600" s="1">
        <f>HYPERLINK("http://www.twitter.com/NathanBLawrence/status/978457966163759105", "978457966163759105")</f>
        <v/>
      </c>
      <c r="B600" s="2" t="n">
        <v>43186.10106481481</v>
      </c>
      <c r="C600" t="n">
        <v>0</v>
      </c>
      <c r="D600" t="n">
        <v>0</v>
      </c>
      <c r="E600" t="s">
        <v>611</v>
      </c>
      <c r="F600" t="s"/>
      <c r="G600" t="s"/>
      <c r="H600" t="s"/>
      <c r="I600" t="s"/>
      <c r="J600" t="n">
        <v>0</v>
      </c>
      <c r="K600" t="n">
        <v>0</v>
      </c>
      <c r="L600" t="n">
        <v>1</v>
      </c>
      <c r="M600" t="n">
        <v>0</v>
      </c>
    </row>
    <row r="601" spans="1:13">
      <c r="A601" s="1">
        <f>HYPERLINK("http://www.twitter.com/NathanBLawrence/status/978455809301602306", "978455809301602306")</f>
        <v/>
      </c>
      <c r="B601" s="2" t="n">
        <v>43186.09511574074</v>
      </c>
      <c r="C601" t="n">
        <v>0</v>
      </c>
      <c r="D601" t="n">
        <v>0</v>
      </c>
      <c r="E601" t="s">
        <v>612</v>
      </c>
      <c r="F601" t="s"/>
      <c r="G601" t="s"/>
      <c r="H601" t="s"/>
      <c r="I601" t="s"/>
      <c r="J601" t="n">
        <v>0.7783</v>
      </c>
      <c r="K601" t="n">
        <v>0</v>
      </c>
      <c r="L601" t="n">
        <v>0.424</v>
      </c>
      <c r="M601" t="n">
        <v>0.576</v>
      </c>
    </row>
    <row r="602" spans="1:13">
      <c r="A602" s="1">
        <f>HYPERLINK("http://www.twitter.com/NathanBLawrence/status/978398292584394753", "978398292584394753")</f>
        <v/>
      </c>
      <c r="B602" s="2" t="n">
        <v>43185.93640046296</v>
      </c>
      <c r="C602" t="n">
        <v>0</v>
      </c>
      <c r="D602" t="n">
        <v>19</v>
      </c>
      <c r="E602" t="s">
        <v>613</v>
      </c>
      <c r="F602" t="s"/>
      <c r="G602" t="s"/>
      <c r="H602" t="s"/>
      <c r="I602" t="s"/>
      <c r="J602" t="n">
        <v>0.2023</v>
      </c>
      <c r="K602" t="n">
        <v>0.058</v>
      </c>
      <c r="L602" t="n">
        <v>0.848</v>
      </c>
      <c r="M602" t="n">
        <v>0.094</v>
      </c>
    </row>
    <row r="603" spans="1:13">
      <c r="A603" s="1">
        <f>HYPERLINK("http://www.twitter.com/NathanBLawrence/status/978312252599267329", "978312252599267329")</f>
        <v/>
      </c>
      <c r="B603" s="2" t="n">
        <v>43185.6989699074</v>
      </c>
      <c r="C603" t="n">
        <v>3</v>
      </c>
      <c r="D603" t="n">
        <v>0</v>
      </c>
      <c r="E603" t="s">
        <v>614</v>
      </c>
      <c r="F603" t="s"/>
      <c r="G603" t="s"/>
      <c r="H603" t="s"/>
      <c r="I603" t="s"/>
      <c r="J603" t="n">
        <v>-0.2263</v>
      </c>
      <c r="K603" t="n">
        <v>0.388</v>
      </c>
      <c r="L603" t="n">
        <v>0.612</v>
      </c>
      <c r="M603" t="n">
        <v>0</v>
      </c>
    </row>
    <row r="604" spans="1:13">
      <c r="A604" s="1">
        <f>HYPERLINK("http://www.twitter.com/NathanBLawrence/status/978245962668834816", "978245962668834816")</f>
        <v/>
      </c>
      <c r="B604" s="2" t="n">
        <v>43185.51605324074</v>
      </c>
      <c r="C604" t="n">
        <v>0</v>
      </c>
      <c r="D604" t="n">
        <v>0</v>
      </c>
      <c r="E604" t="s">
        <v>615</v>
      </c>
      <c r="F604" t="s"/>
      <c r="G604" t="s"/>
      <c r="H604" t="s"/>
      <c r="I604" t="s"/>
      <c r="J604" t="n">
        <v>0</v>
      </c>
      <c r="K604" t="n">
        <v>0</v>
      </c>
      <c r="L604" t="n">
        <v>1</v>
      </c>
      <c r="M604" t="n">
        <v>0</v>
      </c>
    </row>
    <row r="605" spans="1:13">
      <c r="A605" s="1">
        <f>HYPERLINK("http://www.twitter.com/NathanBLawrence/status/978109093230579712", "978109093230579712")</f>
        <v/>
      </c>
      <c r="B605" s="2" t="n">
        <v>43185.13835648148</v>
      </c>
      <c r="C605" t="n">
        <v>0</v>
      </c>
      <c r="D605" t="n">
        <v>23</v>
      </c>
      <c r="E605" t="s">
        <v>616</v>
      </c>
      <c r="F605">
        <f>HYPERLINK("http://pbs.twimg.com/media/DZLwd0pUQAA4RpD.jpg", "http://pbs.twimg.com/media/DZLwd0pUQAA4RpD.jpg")</f>
        <v/>
      </c>
      <c r="G605">
        <f>HYPERLINK("http://pbs.twimg.com/media/DZLwd0qVMAA-hP-.jpg", "http://pbs.twimg.com/media/DZLwd0qVMAA-hP-.jpg")</f>
        <v/>
      </c>
      <c r="H605" t="s"/>
      <c r="I605" t="s"/>
      <c r="J605" t="n">
        <v>0.6476</v>
      </c>
      <c r="K605" t="n">
        <v>0.057</v>
      </c>
      <c r="L605" t="n">
        <v>0.723</v>
      </c>
      <c r="M605" t="n">
        <v>0.22</v>
      </c>
    </row>
    <row r="606" spans="1:13">
      <c r="A606" s="1">
        <f>HYPERLINK("http://www.twitter.com/NathanBLawrence/status/978100829730279425", "978100829730279425")</f>
        <v/>
      </c>
      <c r="B606" s="2" t="n">
        <v>43185.11555555555</v>
      </c>
      <c r="C606" t="n">
        <v>2</v>
      </c>
      <c r="D606" t="n">
        <v>2</v>
      </c>
      <c r="E606" t="s">
        <v>617</v>
      </c>
      <c r="F606" t="s"/>
      <c r="G606" t="s"/>
      <c r="H606" t="s"/>
      <c r="I606" t="s"/>
      <c r="J606" t="n">
        <v>0</v>
      </c>
      <c r="K606" t="n">
        <v>0</v>
      </c>
      <c r="L606" t="n">
        <v>1</v>
      </c>
      <c r="M606" t="n">
        <v>0</v>
      </c>
    </row>
    <row r="607" spans="1:13">
      <c r="A607" s="1">
        <f>HYPERLINK("http://www.twitter.com/NathanBLawrence/status/978098118620336128", "978098118620336128")</f>
        <v/>
      </c>
      <c r="B607" s="2" t="n">
        <v>43185.10807870371</v>
      </c>
      <c r="C607" t="n">
        <v>1</v>
      </c>
      <c r="D607" t="n">
        <v>0</v>
      </c>
      <c r="E607" t="s">
        <v>618</v>
      </c>
      <c r="F607" t="s"/>
      <c r="G607" t="s"/>
      <c r="H607" t="s"/>
      <c r="I607" t="s"/>
      <c r="J607" t="n">
        <v>0.4939</v>
      </c>
      <c r="K607" t="n">
        <v>0</v>
      </c>
      <c r="L607" t="n">
        <v>0.789</v>
      </c>
      <c r="M607" t="n">
        <v>0.211</v>
      </c>
    </row>
    <row r="608" spans="1:13">
      <c r="A608" s="1">
        <f>HYPERLINK("http://www.twitter.com/NathanBLawrence/status/978094582016692225", "978094582016692225")</f>
        <v/>
      </c>
      <c r="B608" s="2" t="n">
        <v>43185.09832175926</v>
      </c>
      <c r="C608" t="n">
        <v>0</v>
      </c>
      <c r="D608" t="n">
        <v>0</v>
      </c>
      <c r="E608" t="s">
        <v>619</v>
      </c>
      <c r="F608" t="s"/>
      <c r="G608" t="s"/>
      <c r="H608" t="s"/>
      <c r="I608" t="s"/>
      <c r="J608" t="n">
        <v>0</v>
      </c>
      <c r="K608" t="n">
        <v>0</v>
      </c>
      <c r="L608" t="n">
        <v>1</v>
      </c>
      <c r="M608" t="n">
        <v>0</v>
      </c>
    </row>
    <row r="609" spans="1:13">
      <c r="A609" s="1">
        <f>HYPERLINK("http://www.twitter.com/NathanBLawrence/status/978088340133203968", "978088340133203968")</f>
        <v/>
      </c>
      <c r="B609" s="2" t="n">
        <v>43185.08108796296</v>
      </c>
      <c r="C609" t="n">
        <v>0</v>
      </c>
      <c r="D609" t="n">
        <v>0</v>
      </c>
      <c r="E609" t="s">
        <v>620</v>
      </c>
      <c r="F609" t="s"/>
      <c r="G609" t="s"/>
      <c r="H609" t="s"/>
      <c r="I609" t="s"/>
      <c r="J609" t="n">
        <v>0</v>
      </c>
      <c r="K609" t="n">
        <v>0</v>
      </c>
      <c r="L609" t="n">
        <v>1</v>
      </c>
      <c r="M609" t="n">
        <v>0</v>
      </c>
    </row>
    <row r="610" spans="1:13">
      <c r="A610" s="1">
        <f>HYPERLINK("http://www.twitter.com/NathanBLawrence/status/978086841395109888", "978086841395109888")</f>
        <v/>
      </c>
      <c r="B610" s="2" t="n">
        <v>43185.07695601852</v>
      </c>
      <c r="C610" t="n">
        <v>0</v>
      </c>
      <c r="D610" t="n">
        <v>0</v>
      </c>
      <c r="E610" t="s">
        <v>621</v>
      </c>
      <c r="F610" t="s"/>
      <c r="G610" t="s"/>
      <c r="H610" t="s"/>
      <c r="I610" t="s"/>
      <c r="J610" t="n">
        <v>0</v>
      </c>
      <c r="K610" t="n">
        <v>0</v>
      </c>
      <c r="L610" t="n">
        <v>1</v>
      </c>
      <c r="M610" t="n">
        <v>0</v>
      </c>
    </row>
    <row r="611" spans="1:13">
      <c r="A611" s="1">
        <f>HYPERLINK("http://www.twitter.com/NathanBLawrence/status/978085496420171777", "978085496420171777")</f>
        <v/>
      </c>
      <c r="B611" s="2" t="n">
        <v>43185.07324074074</v>
      </c>
      <c r="C611" t="n">
        <v>0</v>
      </c>
      <c r="D611" t="n">
        <v>0</v>
      </c>
      <c r="E611" t="s">
        <v>622</v>
      </c>
      <c r="F611" t="s"/>
      <c r="G611" t="s"/>
      <c r="H611" t="s"/>
      <c r="I611" t="s"/>
      <c r="J611" t="n">
        <v>-0.7783</v>
      </c>
      <c r="K611" t="n">
        <v>0.872</v>
      </c>
      <c r="L611" t="n">
        <v>0.128</v>
      </c>
      <c r="M611" t="n">
        <v>0</v>
      </c>
    </row>
    <row r="612" spans="1:13">
      <c r="A612" s="1">
        <f>HYPERLINK("http://www.twitter.com/NathanBLawrence/status/978069022100152320", "978069022100152320")</f>
        <v/>
      </c>
      <c r="B612" s="2" t="n">
        <v>43185.02778935185</v>
      </c>
      <c r="C612" t="n">
        <v>0</v>
      </c>
      <c r="D612" t="n">
        <v>0</v>
      </c>
      <c r="E612" t="s">
        <v>623</v>
      </c>
      <c r="F612" t="s"/>
      <c r="G612" t="s"/>
      <c r="H612" t="s"/>
      <c r="I612" t="s"/>
      <c r="J612" t="n">
        <v>0</v>
      </c>
      <c r="K612" t="n">
        <v>0</v>
      </c>
      <c r="L612" t="n">
        <v>1</v>
      </c>
      <c r="M612" t="n">
        <v>0</v>
      </c>
    </row>
    <row r="613" spans="1:13">
      <c r="A613" s="1">
        <f>HYPERLINK("http://www.twitter.com/NathanBLawrence/status/978068841464025088", "978068841464025088")</f>
        <v/>
      </c>
      <c r="B613" s="2" t="n">
        <v>43185.02729166667</v>
      </c>
      <c r="C613" t="n">
        <v>1</v>
      </c>
      <c r="D613" t="n">
        <v>1</v>
      </c>
      <c r="E613" t="s">
        <v>624</v>
      </c>
      <c r="F613" t="s"/>
      <c r="G613" t="s"/>
      <c r="H613" t="s"/>
      <c r="I613" t="s"/>
      <c r="J613" t="n">
        <v>0.3612</v>
      </c>
      <c r="K613" t="n">
        <v>0</v>
      </c>
      <c r="L613" t="n">
        <v>0.828</v>
      </c>
      <c r="M613" t="n">
        <v>0.172</v>
      </c>
    </row>
    <row r="614" spans="1:13">
      <c r="A614" s="1">
        <f>HYPERLINK("http://www.twitter.com/NathanBLawrence/status/978067864648372224", "978067864648372224")</f>
        <v/>
      </c>
      <c r="B614" s="2" t="n">
        <v>43185.02459490741</v>
      </c>
      <c r="C614" t="n">
        <v>0</v>
      </c>
      <c r="D614" t="n">
        <v>0</v>
      </c>
      <c r="E614" t="s">
        <v>625</v>
      </c>
      <c r="F614" t="s"/>
      <c r="G614" t="s"/>
      <c r="H614" t="s"/>
      <c r="I614" t="s"/>
      <c r="J614" t="n">
        <v>0</v>
      </c>
      <c r="K614" t="n">
        <v>0</v>
      </c>
      <c r="L614" t="n">
        <v>1</v>
      </c>
      <c r="M614" t="n">
        <v>0</v>
      </c>
    </row>
    <row r="615" spans="1:13">
      <c r="A615" s="1">
        <f>HYPERLINK("http://www.twitter.com/NathanBLawrence/status/978067332420554752", "978067332420554752")</f>
        <v/>
      </c>
      <c r="B615" s="2" t="n">
        <v>43185.023125</v>
      </c>
      <c r="C615" t="n">
        <v>0</v>
      </c>
      <c r="D615" t="n">
        <v>0</v>
      </c>
      <c r="E615" t="s">
        <v>626</v>
      </c>
      <c r="F615" t="s"/>
      <c r="G615" t="s"/>
      <c r="H615" t="s"/>
      <c r="I615" t="s"/>
      <c r="J615" t="n">
        <v>-0.3875</v>
      </c>
      <c r="K615" t="n">
        <v>0.396</v>
      </c>
      <c r="L615" t="n">
        <v>0.604</v>
      </c>
      <c r="M615" t="n">
        <v>0</v>
      </c>
    </row>
    <row r="616" spans="1:13">
      <c r="A616" s="1">
        <f>HYPERLINK("http://www.twitter.com/NathanBLawrence/status/978067097799491585", "978067097799491585")</f>
        <v/>
      </c>
      <c r="B616" s="2" t="n">
        <v>43185.02247685185</v>
      </c>
      <c r="C616" t="n">
        <v>0</v>
      </c>
      <c r="D616" t="n">
        <v>0</v>
      </c>
      <c r="E616" t="s">
        <v>627</v>
      </c>
      <c r="F616" t="s"/>
      <c r="G616" t="s"/>
      <c r="H616" t="s"/>
      <c r="I616" t="s"/>
      <c r="J616" t="n">
        <v>-0.4215</v>
      </c>
      <c r="K616" t="n">
        <v>0.128</v>
      </c>
      <c r="L616" t="n">
        <v>0.872</v>
      </c>
      <c r="M616" t="n">
        <v>0</v>
      </c>
    </row>
    <row r="617" spans="1:13">
      <c r="A617" s="1">
        <f>HYPERLINK("http://www.twitter.com/NathanBLawrence/status/978063981809209344", "978063981809209344")</f>
        <v/>
      </c>
      <c r="B617" s="2" t="n">
        <v>43185.01387731481</v>
      </c>
      <c r="C617" t="n">
        <v>0</v>
      </c>
      <c r="D617" t="n">
        <v>3</v>
      </c>
      <c r="E617" t="s">
        <v>628</v>
      </c>
      <c r="F617" t="s"/>
      <c r="G617" t="s"/>
      <c r="H617" t="s"/>
      <c r="I617" t="s"/>
      <c r="J617" t="n">
        <v>0.4995</v>
      </c>
      <c r="K617" t="n">
        <v>0</v>
      </c>
      <c r="L617" t="n">
        <v>0.773</v>
      </c>
      <c r="M617" t="n">
        <v>0.227</v>
      </c>
    </row>
    <row r="618" spans="1:13">
      <c r="A618" s="1">
        <f>HYPERLINK("http://www.twitter.com/NathanBLawrence/status/978062667486322688", "978062667486322688")</f>
        <v/>
      </c>
      <c r="B618" s="2" t="n">
        <v>43185.01025462963</v>
      </c>
      <c r="C618" t="n">
        <v>0</v>
      </c>
      <c r="D618" t="n">
        <v>7627</v>
      </c>
      <c r="E618" t="s">
        <v>629</v>
      </c>
      <c r="F618" t="s"/>
      <c r="G618" t="s"/>
      <c r="H618" t="s"/>
      <c r="I618" t="s"/>
      <c r="J618" t="n">
        <v>0.4404</v>
      </c>
      <c r="K618" t="n">
        <v>0</v>
      </c>
      <c r="L618" t="n">
        <v>0.888</v>
      </c>
      <c r="M618" t="n">
        <v>0.112</v>
      </c>
    </row>
    <row r="619" spans="1:13">
      <c r="A619" s="1">
        <f>HYPERLINK("http://www.twitter.com/NathanBLawrence/status/978062495876308992", "978062495876308992")</f>
        <v/>
      </c>
      <c r="B619" s="2" t="n">
        <v>43185.00978009259</v>
      </c>
      <c r="C619" t="n">
        <v>0</v>
      </c>
      <c r="D619" t="n">
        <v>1</v>
      </c>
      <c r="E619" t="s">
        <v>630</v>
      </c>
      <c r="F619" t="s"/>
      <c r="G619" t="s"/>
      <c r="H619" t="s"/>
      <c r="I619" t="s"/>
      <c r="J619" t="n">
        <v>-0.1419</v>
      </c>
      <c r="K619" t="n">
        <v>0.135</v>
      </c>
      <c r="L619" t="n">
        <v>0.865</v>
      </c>
      <c r="M619" t="n">
        <v>0</v>
      </c>
    </row>
    <row r="620" spans="1:13">
      <c r="A620" s="1">
        <f>HYPERLINK("http://www.twitter.com/NathanBLawrence/status/978062003217543168", "978062003217543168")</f>
        <v/>
      </c>
      <c r="B620" s="2" t="n">
        <v>43185.00841435185</v>
      </c>
      <c r="C620" t="n">
        <v>0</v>
      </c>
      <c r="D620" t="n">
        <v>0</v>
      </c>
      <c r="E620" t="s">
        <v>631</v>
      </c>
      <c r="F620" t="s"/>
      <c r="G620" t="s"/>
      <c r="H620" t="s"/>
      <c r="I620" t="s"/>
      <c r="J620" t="n">
        <v>-0.1531</v>
      </c>
      <c r="K620" t="n">
        <v>0.242</v>
      </c>
      <c r="L620" t="n">
        <v>0.758</v>
      </c>
      <c r="M620" t="n">
        <v>0</v>
      </c>
    </row>
    <row r="621" spans="1:13">
      <c r="A621" s="1">
        <f>HYPERLINK("http://www.twitter.com/NathanBLawrence/status/978038727745376256", "978038727745376256")</f>
        <v/>
      </c>
      <c r="B621" s="2" t="n">
        <v>43184.94418981481</v>
      </c>
      <c r="C621" t="n">
        <v>0</v>
      </c>
      <c r="D621" t="n">
        <v>0</v>
      </c>
      <c r="E621" t="s">
        <v>632</v>
      </c>
      <c r="F621" t="s"/>
      <c r="G621" t="s"/>
      <c r="H621" t="s"/>
      <c r="I621" t="s"/>
      <c r="J621" t="n">
        <v>-0.25</v>
      </c>
      <c r="K621" t="n">
        <v>0.351</v>
      </c>
      <c r="L621" t="n">
        <v>0.448</v>
      </c>
      <c r="M621" t="n">
        <v>0.201</v>
      </c>
    </row>
    <row r="622" spans="1:13">
      <c r="A622" s="1">
        <f>HYPERLINK("http://www.twitter.com/NathanBLawrence/status/978036023979659265", "978036023979659265")</f>
        <v/>
      </c>
      <c r="B622" s="2" t="n">
        <v>43184.93672453704</v>
      </c>
      <c r="C622" t="n">
        <v>0</v>
      </c>
      <c r="D622" t="n">
        <v>0</v>
      </c>
      <c r="E622" t="s">
        <v>633</v>
      </c>
      <c r="F622" t="s"/>
      <c r="G622" t="s"/>
      <c r="H622" t="s"/>
      <c r="I622" t="s"/>
      <c r="J622" t="n">
        <v>0</v>
      </c>
      <c r="K622" t="n">
        <v>0</v>
      </c>
      <c r="L622" t="n">
        <v>1</v>
      </c>
      <c r="M622" t="n">
        <v>0</v>
      </c>
    </row>
    <row r="623" spans="1:13">
      <c r="A623" s="1">
        <f>HYPERLINK("http://www.twitter.com/NathanBLawrence/status/978035839786799105", "978035839786799105")</f>
        <v/>
      </c>
      <c r="B623" s="2" t="n">
        <v>43184.93621527778</v>
      </c>
      <c r="C623" t="n">
        <v>0</v>
      </c>
      <c r="D623" t="n">
        <v>0</v>
      </c>
      <c r="E623" t="s">
        <v>634</v>
      </c>
      <c r="F623" t="s"/>
      <c r="G623" t="s"/>
      <c r="H623" t="s"/>
      <c r="I623" t="s"/>
      <c r="J623" t="n">
        <v>0.4939</v>
      </c>
      <c r="K623" t="n">
        <v>0</v>
      </c>
      <c r="L623" t="n">
        <v>0.714</v>
      </c>
      <c r="M623" t="n">
        <v>0.286</v>
      </c>
    </row>
    <row r="624" spans="1:13">
      <c r="A624" s="1">
        <f>HYPERLINK("http://www.twitter.com/NathanBLawrence/status/978035264194056192", "978035264194056192")</f>
        <v/>
      </c>
      <c r="B624" s="2" t="n">
        <v>43184.93462962963</v>
      </c>
      <c r="C624" t="n">
        <v>0</v>
      </c>
      <c r="D624" t="n">
        <v>0</v>
      </c>
      <c r="E624" t="s">
        <v>635</v>
      </c>
      <c r="F624" t="s"/>
      <c r="G624" t="s"/>
      <c r="H624" t="s"/>
      <c r="I624" t="s"/>
      <c r="J624" t="n">
        <v>0</v>
      </c>
      <c r="K624" t="n">
        <v>0</v>
      </c>
      <c r="L624" t="n">
        <v>1</v>
      </c>
      <c r="M624" t="n">
        <v>0</v>
      </c>
    </row>
    <row r="625" spans="1:13">
      <c r="A625" s="1">
        <f>HYPERLINK("http://www.twitter.com/NathanBLawrence/status/978034864141275140", "978034864141275140")</f>
        <v/>
      </c>
      <c r="B625" s="2" t="n">
        <v>43184.9335300926</v>
      </c>
      <c r="C625" t="n">
        <v>1</v>
      </c>
      <c r="D625" t="n">
        <v>1</v>
      </c>
      <c r="E625" t="s">
        <v>636</v>
      </c>
      <c r="F625" t="s"/>
      <c r="G625" t="s"/>
      <c r="H625" t="s"/>
      <c r="I625" t="s"/>
      <c r="J625" t="n">
        <v>0.4404</v>
      </c>
      <c r="K625" t="n">
        <v>0</v>
      </c>
      <c r="L625" t="n">
        <v>0.854</v>
      </c>
      <c r="M625" t="n">
        <v>0.146</v>
      </c>
    </row>
    <row r="626" spans="1:13">
      <c r="A626" s="1">
        <f>HYPERLINK("http://www.twitter.com/NathanBLawrence/status/978033785144037376", "978033785144037376")</f>
        <v/>
      </c>
      <c r="B626" s="2" t="n">
        <v>43184.93055555555</v>
      </c>
      <c r="C626" t="n">
        <v>0</v>
      </c>
      <c r="D626" t="n">
        <v>0</v>
      </c>
      <c r="E626" t="s">
        <v>637</v>
      </c>
      <c r="F626" t="s"/>
      <c r="G626" t="s"/>
      <c r="H626" t="s"/>
      <c r="I626" t="s"/>
      <c r="J626" t="n">
        <v>0</v>
      </c>
      <c r="K626" t="n">
        <v>0</v>
      </c>
      <c r="L626" t="n">
        <v>1</v>
      </c>
      <c r="M626" t="n">
        <v>0</v>
      </c>
    </row>
    <row r="627" spans="1:13">
      <c r="A627" s="1">
        <f>HYPERLINK("http://www.twitter.com/NathanBLawrence/status/978033004445659136", "978033004445659136")</f>
        <v/>
      </c>
      <c r="B627" s="2" t="n">
        <v>43184.92839120371</v>
      </c>
      <c r="C627" t="n">
        <v>0</v>
      </c>
      <c r="D627" t="n">
        <v>0</v>
      </c>
      <c r="E627" t="s">
        <v>638</v>
      </c>
      <c r="F627" t="s"/>
      <c r="G627" t="s"/>
      <c r="H627" t="s"/>
      <c r="I627" t="s"/>
      <c r="J627" t="n">
        <v>0</v>
      </c>
      <c r="K627" t="n">
        <v>0</v>
      </c>
      <c r="L627" t="n">
        <v>1</v>
      </c>
      <c r="M627" t="n">
        <v>0</v>
      </c>
    </row>
    <row r="628" spans="1:13">
      <c r="A628" s="1">
        <f>HYPERLINK("http://www.twitter.com/NathanBLawrence/status/978026573977841664", "978026573977841664")</f>
        <v/>
      </c>
      <c r="B628" s="2" t="n">
        <v>43184.91064814815</v>
      </c>
      <c r="C628" t="n">
        <v>0</v>
      </c>
      <c r="D628" t="n">
        <v>28974</v>
      </c>
      <c r="E628" t="s">
        <v>639</v>
      </c>
      <c r="F628" t="s"/>
      <c r="G628" t="s"/>
      <c r="H628" t="s"/>
      <c r="I628" t="s"/>
      <c r="J628" t="n">
        <v>0.2732</v>
      </c>
      <c r="K628" t="n">
        <v>0</v>
      </c>
      <c r="L628" t="n">
        <v>0.877</v>
      </c>
      <c r="M628" t="n">
        <v>0.123</v>
      </c>
    </row>
    <row r="629" spans="1:13">
      <c r="A629" s="1">
        <f>HYPERLINK("http://www.twitter.com/NathanBLawrence/status/978023326164582400", "978023326164582400")</f>
        <v/>
      </c>
      <c r="B629" s="2" t="n">
        <v>43184.90168981482</v>
      </c>
      <c r="C629" t="n">
        <v>0</v>
      </c>
      <c r="D629" t="n">
        <v>0</v>
      </c>
      <c r="E629" t="s">
        <v>640</v>
      </c>
      <c r="F629" t="s"/>
      <c r="G629" t="s"/>
      <c r="H629" t="s"/>
      <c r="I629" t="s"/>
      <c r="J629" t="n">
        <v>0</v>
      </c>
      <c r="K629" t="n">
        <v>0</v>
      </c>
      <c r="L629" t="n">
        <v>1</v>
      </c>
      <c r="M629" t="n">
        <v>0</v>
      </c>
    </row>
    <row r="630" spans="1:13">
      <c r="A630" s="1">
        <f>HYPERLINK("http://www.twitter.com/NathanBLawrence/status/978010630224564224", "978010630224564224")</f>
        <v/>
      </c>
      <c r="B630" s="2" t="n">
        <v>43184.86665509259</v>
      </c>
      <c r="C630" t="n">
        <v>1</v>
      </c>
      <c r="D630" t="n">
        <v>1</v>
      </c>
      <c r="E630" t="s">
        <v>641</v>
      </c>
      <c r="F630" t="s"/>
      <c r="G630" t="s"/>
      <c r="H630" t="s"/>
      <c r="I630" t="s"/>
      <c r="J630" t="n">
        <v>0.4939</v>
      </c>
      <c r="K630" t="n">
        <v>0</v>
      </c>
      <c r="L630" t="n">
        <v>0.714</v>
      </c>
      <c r="M630" t="n">
        <v>0.286</v>
      </c>
    </row>
    <row r="631" spans="1:13">
      <c r="A631" s="1">
        <f>HYPERLINK("http://www.twitter.com/NathanBLawrence/status/977909993415561217", "977909993415561217")</f>
        <v/>
      </c>
      <c r="B631" s="2" t="n">
        <v>43184.58894675926</v>
      </c>
      <c r="C631" t="n">
        <v>1</v>
      </c>
      <c r="D631" t="n">
        <v>0</v>
      </c>
      <c r="E631" t="s">
        <v>642</v>
      </c>
      <c r="F631" t="s"/>
      <c r="G631" t="s"/>
      <c r="H631" t="s"/>
      <c r="I631" t="s"/>
      <c r="J631" t="n">
        <v>-0.5266999999999999</v>
      </c>
      <c r="K631" t="n">
        <v>0.355</v>
      </c>
      <c r="L631" t="n">
        <v>0.645</v>
      </c>
      <c r="M631" t="n">
        <v>0</v>
      </c>
    </row>
    <row r="632" spans="1:13">
      <c r="A632" s="1">
        <f>HYPERLINK("http://www.twitter.com/NathanBLawrence/status/977904968106741760", "977904968106741760")</f>
        <v/>
      </c>
      <c r="B632" s="2" t="n">
        <v>43184.57508101852</v>
      </c>
      <c r="C632" t="n">
        <v>10</v>
      </c>
      <c r="D632" t="n">
        <v>2</v>
      </c>
      <c r="E632" t="s">
        <v>643</v>
      </c>
      <c r="F632" t="s"/>
      <c r="G632" t="s"/>
      <c r="H632" t="s"/>
      <c r="I632" t="s"/>
      <c r="J632" t="n">
        <v>-0.0772</v>
      </c>
      <c r="K632" t="n">
        <v>0.057</v>
      </c>
      <c r="L632" t="n">
        <v>0.898</v>
      </c>
      <c r="M632" t="n">
        <v>0.045</v>
      </c>
    </row>
    <row r="633" spans="1:13">
      <c r="A633" s="1">
        <f>HYPERLINK("http://www.twitter.com/NathanBLawrence/status/977742156839424001", "977742156839424001")</f>
        <v/>
      </c>
      <c r="B633" s="2" t="n">
        <v>43184.12581018519</v>
      </c>
      <c r="C633" t="n">
        <v>0</v>
      </c>
      <c r="D633" t="n">
        <v>2732</v>
      </c>
      <c r="E633" t="s">
        <v>644</v>
      </c>
      <c r="F633" t="s"/>
      <c r="G633" t="s"/>
      <c r="H633" t="s"/>
      <c r="I633" t="s"/>
      <c r="J633" t="n">
        <v>-0.3612</v>
      </c>
      <c r="K633" t="n">
        <v>0.098</v>
      </c>
      <c r="L633" t="n">
        <v>0.902</v>
      </c>
      <c r="M633" t="n">
        <v>0</v>
      </c>
    </row>
    <row r="634" spans="1:13">
      <c r="A634" s="1">
        <f>HYPERLINK("http://www.twitter.com/NathanBLawrence/status/977739808972922880", "977739808972922880")</f>
        <v/>
      </c>
      <c r="B634" s="2" t="n">
        <v>43184.1193287037</v>
      </c>
      <c r="C634" t="n">
        <v>0</v>
      </c>
      <c r="D634" t="n">
        <v>1</v>
      </c>
      <c r="E634" t="s">
        <v>645</v>
      </c>
      <c r="F634">
        <f>HYPERLINK("http://pbs.twimg.com/media/DZGXL6dU8AIbuMN.jpg", "http://pbs.twimg.com/media/DZGXL6dU8AIbuMN.jpg")</f>
        <v/>
      </c>
      <c r="G634" t="s"/>
      <c r="H634" t="s"/>
      <c r="I634" t="s"/>
      <c r="J634" t="n">
        <v>0.2382</v>
      </c>
      <c r="K634" t="n">
        <v>0</v>
      </c>
      <c r="L634" t="n">
        <v>0.849</v>
      </c>
      <c r="M634" t="n">
        <v>0.151</v>
      </c>
    </row>
    <row r="635" spans="1:13">
      <c r="A635" s="1">
        <f>HYPERLINK("http://www.twitter.com/NathanBLawrence/status/977738524475691008", "977738524475691008")</f>
        <v/>
      </c>
      <c r="B635" s="2" t="n">
        <v>43184.11578703704</v>
      </c>
      <c r="C635" t="n">
        <v>0</v>
      </c>
      <c r="D635" t="n">
        <v>0</v>
      </c>
      <c r="E635" t="s">
        <v>646</v>
      </c>
      <c r="F635" t="s"/>
      <c r="G635" t="s"/>
      <c r="H635" t="s"/>
      <c r="I635" t="s"/>
      <c r="J635" t="n">
        <v>0</v>
      </c>
      <c r="K635" t="n">
        <v>0</v>
      </c>
      <c r="L635" t="n">
        <v>1</v>
      </c>
      <c r="M635" t="n">
        <v>0</v>
      </c>
    </row>
    <row r="636" spans="1:13">
      <c r="A636" s="1">
        <f>HYPERLINK("http://www.twitter.com/NathanBLawrence/status/977729217726242816", "977729217726242816")</f>
        <v/>
      </c>
      <c r="B636" s="2" t="n">
        <v>43184.09010416667</v>
      </c>
      <c r="C636" t="n">
        <v>1</v>
      </c>
      <c r="D636" t="n">
        <v>0</v>
      </c>
      <c r="E636" t="s">
        <v>647</v>
      </c>
      <c r="F636" t="s"/>
      <c r="G636" t="s"/>
      <c r="H636" t="s"/>
      <c r="I636" t="s"/>
      <c r="J636" t="n">
        <v>-0.7269</v>
      </c>
      <c r="K636" t="n">
        <v>0.276</v>
      </c>
      <c r="L636" t="n">
        <v>0.724</v>
      </c>
      <c r="M636" t="n">
        <v>0</v>
      </c>
    </row>
    <row r="637" spans="1:13">
      <c r="A637" s="1">
        <f>HYPERLINK("http://www.twitter.com/NathanBLawrence/status/977705983454711808", "977705983454711808")</f>
        <v/>
      </c>
      <c r="B637" s="2" t="n">
        <v>43184.02599537037</v>
      </c>
      <c r="C637" t="n">
        <v>1</v>
      </c>
      <c r="D637" t="n">
        <v>0</v>
      </c>
      <c r="E637" t="s">
        <v>648</v>
      </c>
      <c r="F637" t="s"/>
      <c r="G637" t="s"/>
      <c r="H637" t="s"/>
      <c r="I637" t="s"/>
      <c r="J637" t="n">
        <v>0</v>
      </c>
      <c r="K637" t="n">
        <v>0</v>
      </c>
      <c r="L637" t="n">
        <v>1</v>
      </c>
      <c r="M637" t="n">
        <v>0</v>
      </c>
    </row>
    <row r="638" spans="1:13">
      <c r="A638" s="1">
        <f>HYPERLINK("http://www.twitter.com/NathanBLawrence/status/977688364827557888", "977688364827557888")</f>
        <v/>
      </c>
      <c r="B638" s="2" t="n">
        <v>43183.97737268519</v>
      </c>
      <c r="C638" t="n">
        <v>0</v>
      </c>
      <c r="D638" t="n">
        <v>0</v>
      </c>
      <c r="E638" t="s">
        <v>649</v>
      </c>
      <c r="F638" t="s"/>
      <c r="G638" t="s"/>
      <c r="H638" t="s"/>
      <c r="I638" t="s"/>
      <c r="J638" t="n">
        <v>-0.7003</v>
      </c>
      <c r="K638" t="n">
        <v>0.492</v>
      </c>
      <c r="L638" t="n">
        <v>0.508</v>
      </c>
      <c r="M638" t="n">
        <v>0</v>
      </c>
    </row>
    <row r="639" spans="1:13">
      <c r="A639" s="1">
        <f>HYPERLINK("http://www.twitter.com/NathanBLawrence/status/977681820287299584", "977681820287299584")</f>
        <v/>
      </c>
      <c r="B639" s="2" t="n">
        <v>43183.95931712963</v>
      </c>
      <c r="C639" t="n">
        <v>0</v>
      </c>
      <c r="D639" t="n">
        <v>5</v>
      </c>
      <c r="E639" t="s">
        <v>650</v>
      </c>
      <c r="F639" t="s"/>
      <c r="G639" t="s"/>
      <c r="H639" t="s"/>
      <c r="I639" t="s"/>
      <c r="J639" t="n">
        <v>0</v>
      </c>
      <c r="K639" t="n">
        <v>0</v>
      </c>
      <c r="L639" t="n">
        <v>1</v>
      </c>
      <c r="M639" t="n">
        <v>0</v>
      </c>
    </row>
    <row r="640" spans="1:13">
      <c r="A640" s="1">
        <f>HYPERLINK("http://www.twitter.com/NathanBLawrence/status/977680135481540608", "977680135481540608")</f>
        <v/>
      </c>
      <c r="B640" s="2" t="n">
        <v>43183.95466435186</v>
      </c>
      <c r="C640" t="n">
        <v>1</v>
      </c>
      <c r="D640" t="n">
        <v>0</v>
      </c>
      <c r="E640" t="s">
        <v>651</v>
      </c>
      <c r="F640" t="s"/>
      <c r="G640" t="s"/>
      <c r="H640" t="s"/>
      <c r="I640" t="s"/>
      <c r="J640" t="n">
        <v>0</v>
      </c>
      <c r="K640" t="n">
        <v>0</v>
      </c>
      <c r="L640" t="n">
        <v>1</v>
      </c>
      <c r="M640" t="n">
        <v>0</v>
      </c>
    </row>
    <row r="641" spans="1:13">
      <c r="A641" s="1">
        <f>HYPERLINK("http://www.twitter.com/NathanBLawrence/status/977659446104031232", "977659446104031232")</f>
        <v/>
      </c>
      <c r="B641" s="2" t="n">
        <v>43183.89756944445</v>
      </c>
      <c r="C641" t="n">
        <v>0</v>
      </c>
      <c r="D641" t="n">
        <v>0</v>
      </c>
      <c r="E641" t="s">
        <v>652</v>
      </c>
      <c r="F641" t="s"/>
      <c r="G641" t="s"/>
      <c r="H641" t="s"/>
      <c r="I641" t="s"/>
      <c r="J641" t="n">
        <v>-0.4215</v>
      </c>
      <c r="K641" t="n">
        <v>0.241</v>
      </c>
      <c r="L641" t="n">
        <v>0.759</v>
      </c>
      <c r="M641" t="n">
        <v>0</v>
      </c>
    </row>
    <row r="642" spans="1:13">
      <c r="A642" s="1">
        <f>HYPERLINK("http://www.twitter.com/NathanBLawrence/status/977655131427745793", "977655131427745793")</f>
        <v/>
      </c>
      <c r="B642" s="2" t="n">
        <v>43183.88565972223</v>
      </c>
      <c r="C642" t="n">
        <v>0</v>
      </c>
      <c r="D642" t="n">
        <v>1</v>
      </c>
      <c r="E642" t="s">
        <v>653</v>
      </c>
      <c r="F642">
        <f>HYPERLINK("http://pbs.twimg.com/media/DZEmTQDW4AIPdfe.jpg", "http://pbs.twimg.com/media/DZEmTQDW4AIPdfe.jpg")</f>
        <v/>
      </c>
      <c r="G642" t="s"/>
      <c r="H642" t="s"/>
      <c r="I642" t="s"/>
      <c r="J642" t="n">
        <v>0.34</v>
      </c>
      <c r="K642" t="n">
        <v>0</v>
      </c>
      <c r="L642" t="n">
        <v>0.854</v>
      </c>
      <c r="M642" t="n">
        <v>0.146</v>
      </c>
    </row>
    <row r="643" spans="1:13">
      <c r="A643" s="1">
        <f>HYPERLINK("http://www.twitter.com/NathanBLawrence/status/977632046548996097", "977632046548996097")</f>
        <v/>
      </c>
      <c r="B643" s="2" t="n">
        <v>43183.82196759259</v>
      </c>
      <c r="C643" t="n">
        <v>2</v>
      </c>
      <c r="D643" t="n">
        <v>0</v>
      </c>
      <c r="E643" t="s">
        <v>654</v>
      </c>
      <c r="F643" t="s"/>
      <c r="G643" t="s"/>
      <c r="H643" t="s"/>
      <c r="I643" t="s"/>
      <c r="J643" t="n">
        <v>-0.1867</v>
      </c>
      <c r="K643" t="n">
        <v>0.165</v>
      </c>
      <c r="L643" t="n">
        <v>0.73</v>
      </c>
      <c r="M643" t="n">
        <v>0.105</v>
      </c>
    </row>
    <row r="644" spans="1:13">
      <c r="A644" s="1">
        <f>HYPERLINK("http://www.twitter.com/NathanBLawrence/status/977384898972606464", "977384898972606464")</f>
        <v/>
      </c>
      <c r="B644" s="2" t="n">
        <v>43183.13996527778</v>
      </c>
      <c r="C644" t="n">
        <v>0</v>
      </c>
      <c r="D644" t="n">
        <v>2163</v>
      </c>
      <c r="E644" t="s">
        <v>655</v>
      </c>
      <c r="F644" t="s"/>
      <c r="G644" t="s"/>
      <c r="H644" t="s"/>
      <c r="I644" t="s"/>
      <c r="J644" t="n">
        <v>-0.3818</v>
      </c>
      <c r="K644" t="n">
        <v>0.126</v>
      </c>
      <c r="L644" t="n">
        <v>0.874</v>
      </c>
      <c r="M644" t="n">
        <v>0</v>
      </c>
    </row>
    <row r="645" spans="1:13">
      <c r="A645" s="1">
        <f>HYPERLINK("http://www.twitter.com/NathanBLawrence/status/977372013823254528", "977372013823254528")</f>
        <v/>
      </c>
      <c r="B645" s="2" t="n">
        <v>43183.10440972223</v>
      </c>
      <c r="C645" t="n">
        <v>0</v>
      </c>
      <c r="D645" t="n">
        <v>0</v>
      </c>
      <c r="E645" t="s">
        <v>656</v>
      </c>
      <c r="F645" t="s"/>
      <c r="G645" t="s"/>
      <c r="H645" t="s"/>
      <c r="I645" t="s"/>
      <c r="J645" t="n">
        <v>0.0382</v>
      </c>
      <c r="K645" t="n">
        <v>0</v>
      </c>
      <c r="L645" t="n">
        <v>0.919</v>
      </c>
      <c r="M645" t="n">
        <v>0.081</v>
      </c>
    </row>
    <row r="646" spans="1:13">
      <c r="A646" s="1">
        <f>HYPERLINK("http://www.twitter.com/NathanBLawrence/status/977348135734345730", "977348135734345730")</f>
        <v/>
      </c>
      <c r="B646" s="2" t="n">
        <v>43183.03851851852</v>
      </c>
      <c r="C646" t="n">
        <v>0</v>
      </c>
      <c r="D646" t="n">
        <v>19021</v>
      </c>
      <c r="E646" t="s">
        <v>657</v>
      </c>
      <c r="F646" t="s"/>
      <c r="G646" t="s"/>
      <c r="H646" t="s"/>
      <c r="I646" t="s"/>
      <c r="J646" t="n">
        <v>0.3612</v>
      </c>
      <c r="K646" t="n">
        <v>0</v>
      </c>
      <c r="L646" t="n">
        <v>0.844</v>
      </c>
      <c r="M646" t="n">
        <v>0.156</v>
      </c>
    </row>
    <row r="647" spans="1:13">
      <c r="A647" s="1">
        <f>HYPERLINK("http://www.twitter.com/NathanBLawrence/status/977347796583018496", "977347796583018496")</f>
        <v/>
      </c>
      <c r="B647" s="2" t="n">
        <v>43183.03758101852</v>
      </c>
      <c r="C647" t="n">
        <v>0</v>
      </c>
      <c r="D647" t="n">
        <v>0</v>
      </c>
      <c r="E647" t="s">
        <v>658</v>
      </c>
      <c r="F647" t="s"/>
      <c r="G647" t="s"/>
      <c r="H647" t="s"/>
      <c r="I647" t="s"/>
      <c r="J647" t="n">
        <v>0</v>
      </c>
      <c r="K647" t="n">
        <v>0</v>
      </c>
      <c r="L647" t="n">
        <v>1</v>
      </c>
      <c r="M647" t="n">
        <v>0</v>
      </c>
    </row>
    <row r="648" spans="1:13">
      <c r="A648" s="1">
        <f>HYPERLINK("http://www.twitter.com/NathanBLawrence/status/977304320411602944", "977304320411602944")</f>
        <v/>
      </c>
      <c r="B648" s="2" t="n">
        <v>43182.91761574074</v>
      </c>
      <c r="C648" t="n">
        <v>0</v>
      </c>
      <c r="D648" t="n">
        <v>0</v>
      </c>
      <c r="E648" t="s">
        <v>659</v>
      </c>
      <c r="F648" t="s"/>
      <c r="G648" t="s"/>
      <c r="H648" t="s"/>
      <c r="I648" t="s"/>
      <c r="J648" t="n">
        <v>-0.7096</v>
      </c>
      <c r="K648" t="n">
        <v>0.596</v>
      </c>
      <c r="L648" t="n">
        <v>0.404</v>
      </c>
      <c r="M648" t="n">
        <v>0</v>
      </c>
    </row>
    <row r="649" spans="1:13">
      <c r="A649" s="1">
        <f>HYPERLINK("http://www.twitter.com/NathanBLawrence/status/977304095865344001", "977304095865344001")</f>
        <v/>
      </c>
      <c r="B649" s="2" t="n">
        <v>43182.91699074074</v>
      </c>
      <c r="C649" t="n">
        <v>3</v>
      </c>
      <c r="D649" t="n">
        <v>0</v>
      </c>
      <c r="E649" t="s">
        <v>660</v>
      </c>
      <c r="F649" t="s"/>
      <c r="G649" t="s"/>
      <c r="H649" t="s"/>
      <c r="I649" t="s"/>
      <c r="J649" t="n">
        <v>0</v>
      </c>
      <c r="K649" t="n">
        <v>0</v>
      </c>
      <c r="L649" t="n">
        <v>1</v>
      </c>
      <c r="M649" t="n">
        <v>0</v>
      </c>
    </row>
    <row r="650" spans="1:13">
      <c r="A650" s="1">
        <f>HYPERLINK("http://www.twitter.com/NathanBLawrence/status/977285379140222977", "977285379140222977")</f>
        <v/>
      </c>
      <c r="B650" s="2" t="n">
        <v>43182.86534722222</v>
      </c>
      <c r="C650" t="n">
        <v>0</v>
      </c>
      <c r="D650" t="n">
        <v>0</v>
      </c>
      <c r="E650" t="s">
        <v>661</v>
      </c>
      <c r="F650" t="s"/>
      <c r="G650" t="s"/>
      <c r="H650" t="s"/>
      <c r="I650" t="s"/>
      <c r="J650" t="n">
        <v>0</v>
      </c>
      <c r="K650" t="n">
        <v>0</v>
      </c>
      <c r="L650" t="n">
        <v>1</v>
      </c>
      <c r="M650" t="n">
        <v>0</v>
      </c>
    </row>
    <row r="651" spans="1:13">
      <c r="A651" s="1">
        <f>HYPERLINK("http://www.twitter.com/NathanBLawrence/status/977278914333675522", "977278914333675522")</f>
        <v/>
      </c>
      <c r="B651" s="2" t="n">
        <v>43182.8475</v>
      </c>
      <c r="C651" t="n">
        <v>1</v>
      </c>
      <c r="D651" t="n">
        <v>0</v>
      </c>
      <c r="E651" t="s">
        <v>662</v>
      </c>
      <c r="F651" t="s"/>
      <c r="G651" t="s"/>
      <c r="H651" t="s"/>
      <c r="I651" t="s"/>
      <c r="J651" t="n">
        <v>-0.6908</v>
      </c>
      <c r="K651" t="n">
        <v>0.61</v>
      </c>
      <c r="L651" t="n">
        <v>0.39</v>
      </c>
      <c r="M651" t="n">
        <v>0</v>
      </c>
    </row>
    <row r="652" spans="1:13">
      <c r="A652" s="1">
        <f>HYPERLINK("http://www.twitter.com/NathanBLawrence/status/977274727533248512", "977274727533248512")</f>
        <v/>
      </c>
      <c r="B652" s="2" t="n">
        <v>43182.83594907408</v>
      </c>
      <c r="C652" t="n">
        <v>0</v>
      </c>
      <c r="D652" t="n">
        <v>0</v>
      </c>
      <c r="E652" t="s">
        <v>663</v>
      </c>
      <c r="F652" t="s"/>
      <c r="G652" t="s"/>
      <c r="H652" t="s"/>
      <c r="I652" t="s"/>
      <c r="J652" t="n">
        <v>-0.0644</v>
      </c>
      <c r="K652" t="n">
        <v>0.208</v>
      </c>
      <c r="L652" t="n">
        <v>0.609</v>
      </c>
      <c r="M652" t="n">
        <v>0.183</v>
      </c>
    </row>
    <row r="653" spans="1:13">
      <c r="A653" s="1">
        <f>HYPERLINK("http://www.twitter.com/NathanBLawrence/status/977269702941728768", "977269702941728768")</f>
        <v/>
      </c>
      <c r="B653" s="2" t="n">
        <v>43182.82208333333</v>
      </c>
      <c r="C653" t="n">
        <v>0</v>
      </c>
      <c r="D653" t="n">
        <v>0</v>
      </c>
      <c r="E653" t="s">
        <v>664</v>
      </c>
      <c r="F653" t="s"/>
      <c r="G653" t="s"/>
      <c r="H653" t="s"/>
      <c r="I653" t="s"/>
      <c r="J653" t="n">
        <v>-0.8475</v>
      </c>
      <c r="K653" t="n">
        <v>0.5669999999999999</v>
      </c>
      <c r="L653" t="n">
        <v>0.433</v>
      </c>
      <c r="M653" t="n">
        <v>0</v>
      </c>
    </row>
    <row r="654" spans="1:13">
      <c r="A654" s="1">
        <f>HYPERLINK("http://www.twitter.com/NathanBLawrence/status/977255164884193282", "977255164884193282")</f>
        <v/>
      </c>
      <c r="B654" s="2" t="n">
        <v>43182.78196759259</v>
      </c>
      <c r="C654" t="n">
        <v>3</v>
      </c>
      <c r="D654" t="n">
        <v>0</v>
      </c>
      <c r="E654" t="s">
        <v>665</v>
      </c>
      <c r="F654" t="s"/>
      <c r="G654" t="s"/>
      <c r="H654" t="s"/>
      <c r="I654" t="s"/>
      <c r="J654" t="n">
        <v>0</v>
      </c>
      <c r="K654" t="n">
        <v>0</v>
      </c>
      <c r="L654" t="n">
        <v>1</v>
      </c>
      <c r="M654" t="n">
        <v>0</v>
      </c>
    </row>
    <row r="655" spans="1:13">
      <c r="A655" s="1">
        <f>HYPERLINK("http://www.twitter.com/NathanBLawrence/status/977222379163258881", "977222379163258881")</f>
        <v/>
      </c>
      <c r="B655" s="2" t="n">
        <v>43182.69149305556</v>
      </c>
      <c r="C655" t="n">
        <v>1</v>
      </c>
      <c r="D655" t="n">
        <v>0</v>
      </c>
      <c r="E655" t="s">
        <v>666</v>
      </c>
      <c r="F655" t="s"/>
      <c r="G655" t="s"/>
      <c r="H655" t="s"/>
      <c r="I655" t="s"/>
      <c r="J655" t="n">
        <v>0</v>
      </c>
      <c r="K655" t="n">
        <v>0</v>
      </c>
      <c r="L655" t="n">
        <v>1</v>
      </c>
      <c r="M655" t="n">
        <v>0</v>
      </c>
    </row>
    <row r="656" spans="1:13">
      <c r="A656" s="1">
        <f>HYPERLINK("http://www.twitter.com/NathanBLawrence/status/977198164980699137", "977198164980699137")</f>
        <v/>
      </c>
      <c r="B656" s="2" t="n">
        <v>43182.62467592592</v>
      </c>
      <c r="C656" t="n">
        <v>1</v>
      </c>
      <c r="D656" t="n">
        <v>0</v>
      </c>
      <c r="E656" t="s">
        <v>667</v>
      </c>
      <c r="F656" t="s"/>
      <c r="G656" t="s"/>
      <c r="H656" t="s"/>
      <c r="I656" t="s"/>
      <c r="J656" t="n">
        <v>0</v>
      </c>
      <c r="K656" t="n">
        <v>0</v>
      </c>
      <c r="L656" t="n">
        <v>1</v>
      </c>
      <c r="M656" t="n">
        <v>0</v>
      </c>
    </row>
    <row r="657" spans="1:13">
      <c r="A657" s="1">
        <f>HYPERLINK("http://www.twitter.com/NathanBLawrence/status/977196682449432576", "977196682449432576")</f>
        <v/>
      </c>
      <c r="B657" s="2" t="n">
        <v>43182.62059027778</v>
      </c>
      <c r="C657" t="n">
        <v>0</v>
      </c>
      <c r="D657" t="n">
        <v>0</v>
      </c>
      <c r="E657" t="s">
        <v>668</v>
      </c>
      <c r="F657" t="s"/>
      <c r="G657" t="s"/>
      <c r="H657" t="s"/>
      <c r="I657" t="s"/>
      <c r="J657" t="n">
        <v>0</v>
      </c>
      <c r="K657" t="n">
        <v>0</v>
      </c>
      <c r="L657" t="n">
        <v>1</v>
      </c>
      <c r="M657" t="n">
        <v>0</v>
      </c>
    </row>
    <row r="658" spans="1:13">
      <c r="A658" s="1">
        <f>HYPERLINK("http://www.twitter.com/NathanBLawrence/status/977196308321787904", "977196308321787904")</f>
        <v/>
      </c>
      <c r="B658" s="2" t="n">
        <v>43182.61954861111</v>
      </c>
      <c r="C658" t="n">
        <v>1</v>
      </c>
      <c r="D658" t="n">
        <v>0</v>
      </c>
      <c r="E658" t="s">
        <v>669</v>
      </c>
      <c r="F658" t="s"/>
      <c r="G658" t="s"/>
      <c r="H658" t="s"/>
      <c r="I658" t="s"/>
      <c r="J658" t="n">
        <v>0</v>
      </c>
      <c r="K658" t="n">
        <v>0</v>
      </c>
      <c r="L658" t="n">
        <v>1</v>
      </c>
      <c r="M658" t="n">
        <v>0</v>
      </c>
    </row>
    <row r="659" spans="1:13">
      <c r="A659" s="1">
        <f>HYPERLINK("http://www.twitter.com/NathanBLawrence/status/977196088280174592", "977196088280174592")</f>
        <v/>
      </c>
      <c r="B659" s="2" t="n">
        <v>43182.61894675926</v>
      </c>
      <c r="C659" t="n">
        <v>0</v>
      </c>
      <c r="D659" t="n">
        <v>0</v>
      </c>
      <c r="E659" t="s">
        <v>670</v>
      </c>
      <c r="F659" t="s"/>
      <c r="G659" t="s"/>
      <c r="H659" t="s"/>
      <c r="I659" t="s"/>
      <c r="J659" t="n">
        <v>0</v>
      </c>
      <c r="K659" t="n">
        <v>0</v>
      </c>
      <c r="L659" t="n">
        <v>1</v>
      </c>
      <c r="M659" t="n">
        <v>0</v>
      </c>
    </row>
    <row r="660" spans="1:13">
      <c r="A660" s="1">
        <f>HYPERLINK("http://www.twitter.com/NathanBLawrence/status/977195754866511874", "977195754866511874")</f>
        <v/>
      </c>
      <c r="B660" s="2" t="n">
        <v>43182.61803240741</v>
      </c>
      <c r="C660" t="n">
        <v>3</v>
      </c>
      <c r="D660" t="n">
        <v>1</v>
      </c>
      <c r="E660" t="s">
        <v>671</v>
      </c>
      <c r="F660" t="s"/>
      <c r="G660" t="s"/>
      <c r="H660" t="s"/>
      <c r="I660" t="s"/>
      <c r="J660" t="n">
        <v>0</v>
      </c>
      <c r="K660" t="n">
        <v>0</v>
      </c>
      <c r="L660" t="n">
        <v>1</v>
      </c>
      <c r="M660" t="n">
        <v>0</v>
      </c>
    </row>
    <row r="661" spans="1:13">
      <c r="A661" s="1">
        <f>HYPERLINK("http://www.twitter.com/NathanBLawrence/status/977195288258588672", "977195288258588672")</f>
        <v/>
      </c>
      <c r="B661" s="2" t="n">
        <v>43182.61673611111</v>
      </c>
      <c r="C661" t="n">
        <v>3</v>
      </c>
      <c r="D661" t="n">
        <v>0</v>
      </c>
      <c r="E661" t="s">
        <v>672</v>
      </c>
      <c r="F661" t="s"/>
      <c r="G661" t="s"/>
      <c r="H661" t="s"/>
      <c r="I661" t="s"/>
      <c r="J661" t="n">
        <v>0</v>
      </c>
      <c r="K661" t="n">
        <v>0</v>
      </c>
      <c r="L661" t="n">
        <v>1</v>
      </c>
      <c r="M661" t="n">
        <v>0</v>
      </c>
    </row>
    <row r="662" spans="1:13">
      <c r="A662" s="1">
        <f>HYPERLINK("http://www.twitter.com/NathanBLawrence/status/977194588241911810", "977194588241911810")</f>
        <v/>
      </c>
      <c r="B662" s="2" t="n">
        <v>43182.61480324074</v>
      </c>
      <c r="C662" t="n">
        <v>0</v>
      </c>
      <c r="D662" t="n">
        <v>1</v>
      </c>
      <c r="E662" t="s">
        <v>673</v>
      </c>
      <c r="F662" t="s"/>
      <c r="G662" t="s"/>
      <c r="H662" t="s"/>
      <c r="I662" t="s"/>
      <c r="J662" t="n">
        <v>0.3182</v>
      </c>
      <c r="K662" t="n">
        <v>0</v>
      </c>
      <c r="L662" t="n">
        <v>0.777</v>
      </c>
      <c r="M662" t="n">
        <v>0.223</v>
      </c>
    </row>
    <row r="663" spans="1:13">
      <c r="A663" s="1">
        <f>HYPERLINK("http://www.twitter.com/NathanBLawrence/status/977168056190464000", "977168056190464000")</f>
        <v/>
      </c>
      <c r="B663" s="2" t="n">
        <v>43182.54159722223</v>
      </c>
      <c r="C663" t="n">
        <v>0</v>
      </c>
      <c r="D663" t="n">
        <v>36652</v>
      </c>
      <c r="E663" t="s">
        <v>674</v>
      </c>
      <c r="F663" t="s"/>
      <c r="G663" t="s"/>
      <c r="H663" t="s"/>
      <c r="I663" t="s"/>
      <c r="J663" t="n">
        <v>0</v>
      </c>
      <c r="K663" t="n">
        <v>0</v>
      </c>
      <c r="L663" t="n">
        <v>1</v>
      </c>
      <c r="M663" t="n">
        <v>0</v>
      </c>
    </row>
    <row r="664" spans="1:13">
      <c r="A664" s="1">
        <f>HYPERLINK("http://www.twitter.com/NathanBLawrence/status/977167956038815744", "977167956038815744")</f>
        <v/>
      </c>
      <c r="B664" s="2" t="n">
        <v>43182.54131944444</v>
      </c>
      <c r="C664" t="n">
        <v>0</v>
      </c>
      <c r="D664" t="n">
        <v>2</v>
      </c>
      <c r="E664" t="s">
        <v>675</v>
      </c>
      <c r="F664" t="s"/>
      <c r="G664" t="s"/>
      <c r="H664" t="s"/>
      <c r="I664" t="s"/>
      <c r="J664" t="n">
        <v>-0.3412</v>
      </c>
      <c r="K664" t="n">
        <v>0.325</v>
      </c>
      <c r="L664" t="n">
        <v>0.675</v>
      </c>
      <c r="M664" t="n">
        <v>0</v>
      </c>
    </row>
    <row r="665" spans="1:13">
      <c r="A665" s="1">
        <f>HYPERLINK("http://www.twitter.com/NathanBLawrence/status/976986135112056832", "976986135112056832")</f>
        <v/>
      </c>
      <c r="B665" s="2" t="n">
        <v>43182.03958333333</v>
      </c>
      <c r="C665" t="n">
        <v>0</v>
      </c>
      <c r="D665" t="n">
        <v>0</v>
      </c>
      <c r="E665" t="s">
        <v>676</v>
      </c>
      <c r="F665" t="s"/>
      <c r="G665" t="s"/>
      <c r="H665" t="s"/>
      <c r="I665" t="s"/>
      <c r="J665" t="n">
        <v>0</v>
      </c>
      <c r="K665" t="n">
        <v>0</v>
      </c>
      <c r="L665" t="n">
        <v>1</v>
      </c>
      <c r="M665" t="n">
        <v>0</v>
      </c>
    </row>
    <row r="666" spans="1:13">
      <c r="A666" s="1">
        <f>HYPERLINK("http://www.twitter.com/NathanBLawrence/status/976979674134958080", "976979674134958080")</f>
        <v/>
      </c>
      <c r="B666" s="2" t="n">
        <v>43182.02175925926</v>
      </c>
      <c r="C666" t="n">
        <v>0</v>
      </c>
      <c r="D666" t="n">
        <v>7</v>
      </c>
      <c r="E666" t="s">
        <v>677</v>
      </c>
      <c r="F666">
        <f>HYPERLINK("http://pbs.twimg.com/media/DY7mlm9VMAEDhEL.jpg", "http://pbs.twimg.com/media/DY7mlm9VMAEDhEL.jpg")</f>
        <v/>
      </c>
      <c r="G666">
        <f>HYPERLINK("http://pbs.twimg.com/media/DY7mlnAVwAA44Pw.jpg", "http://pbs.twimg.com/media/DY7mlnAVwAA44Pw.jpg")</f>
        <v/>
      </c>
      <c r="H666" t="s"/>
      <c r="I666" t="s"/>
      <c r="J666" t="n">
        <v>-0.4968</v>
      </c>
      <c r="K666" t="n">
        <v>0.206</v>
      </c>
      <c r="L666" t="n">
        <v>0.722</v>
      </c>
      <c r="M666" t="n">
        <v>0.07199999999999999</v>
      </c>
    </row>
    <row r="667" spans="1:13">
      <c r="A667" s="1">
        <f>HYPERLINK("http://www.twitter.com/NathanBLawrence/status/976957783244451841", "976957783244451841")</f>
        <v/>
      </c>
      <c r="B667" s="2" t="n">
        <v>43181.96135416667</v>
      </c>
      <c r="C667" t="n">
        <v>1</v>
      </c>
      <c r="D667" t="n">
        <v>0</v>
      </c>
      <c r="E667" t="s">
        <v>678</v>
      </c>
      <c r="F667" t="s"/>
      <c r="G667" t="s"/>
      <c r="H667" t="s"/>
      <c r="I667" t="s"/>
      <c r="J667" t="n">
        <v>0</v>
      </c>
      <c r="K667" t="n">
        <v>0</v>
      </c>
      <c r="L667" t="n">
        <v>1</v>
      </c>
      <c r="M667" t="n">
        <v>0</v>
      </c>
    </row>
    <row r="668" spans="1:13">
      <c r="A668" s="1">
        <f>HYPERLINK("http://www.twitter.com/NathanBLawrence/status/976954652104249350", "976954652104249350")</f>
        <v/>
      </c>
      <c r="B668" s="2" t="n">
        <v>43181.95270833333</v>
      </c>
      <c r="C668" t="n">
        <v>2</v>
      </c>
      <c r="D668" t="n">
        <v>0</v>
      </c>
      <c r="E668" t="s">
        <v>679</v>
      </c>
      <c r="F668" t="s"/>
      <c r="G668" t="s"/>
      <c r="H668" t="s"/>
      <c r="I668" t="s"/>
      <c r="J668" t="n">
        <v>-0.2263</v>
      </c>
      <c r="K668" t="n">
        <v>0.144</v>
      </c>
      <c r="L668" t="n">
        <v>0.765</v>
      </c>
      <c r="M668" t="n">
        <v>0.091</v>
      </c>
    </row>
    <row r="669" spans="1:13">
      <c r="A669" s="1">
        <f>HYPERLINK("http://www.twitter.com/NathanBLawrence/status/976953714408919040", "976953714408919040")</f>
        <v/>
      </c>
      <c r="B669" s="2" t="n">
        <v>43181.95012731481</v>
      </c>
      <c r="C669" t="n">
        <v>0</v>
      </c>
      <c r="D669" t="n">
        <v>0</v>
      </c>
      <c r="E669" t="s">
        <v>680</v>
      </c>
      <c r="F669" t="s"/>
      <c r="G669" t="s"/>
      <c r="H669" t="s"/>
      <c r="I669" t="s"/>
      <c r="J669" t="n">
        <v>-0.296</v>
      </c>
      <c r="K669" t="n">
        <v>0.306</v>
      </c>
      <c r="L669" t="n">
        <v>0.694</v>
      </c>
      <c r="M669" t="n">
        <v>0</v>
      </c>
    </row>
    <row r="670" spans="1:13">
      <c r="A670" s="1">
        <f>HYPERLINK("http://www.twitter.com/NathanBLawrence/status/976953412855238656", "976953412855238656")</f>
        <v/>
      </c>
      <c r="B670" s="2" t="n">
        <v>43181.94929398148</v>
      </c>
      <c r="C670" t="n">
        <v>2</v>
      </c>
      <c r="D670" t="n">
        <v>0</v>
      </c>
      <c r="E670" t="s">
        <v>681</v>
      </c>
      <c r="F670" t="s"/>
      <c r="G670" t="s"/>
      <c r="H670" t="s"/>
      <c r="I670" t="s"/>
      <c r="J670" t="n">
        <v>0</v>
      </c>
      <c r="K670" t="n">
        <v>0</v>
      </c>
      <c r="L670" t="n">
        <v>1</v>
      </c>
      <c r="M670" t="n">
        <v>0</v>
      </c>
    </row>
    <row r="671" spans="1:13">
      <c r="A671" s="1">
        <f>HYPERLINK("http://www.twitter.com/NathanBLawrence/status/976920678183194624", "976920678183194624")</f>
        <v/>
      </c>
      <c r="B671" s="2" t="n">
        <v>43181.85895833333</v>
      </c>
      <c r="C671" t="n">
        <v>0</v>
      </c>
      <c r="D671" t="n">
        <v>0</v>
      </c>
      <c r="E671" t="s">
        <v>682</v>
      </c>
      <c r="F671" t="s"/>
      <c r="G671" t="s"/>
      <c r="H671" t="s"/>
      <c r="I671" t="s"/>
      <c r="J671" t="n">
        <v>0</v>
      </c>
      <c r="K671" t="n">
        <v>0</v>
      </c>
      <c r="L671" t="n">
        <v>1</v>
      </c>
      <c r="M671" t="n">
        <v>0</v>
      </c>
    </row>
    <row r="672" spans="1:13">
      <c r="A672" s="1">
        <f>HYPERLINK("http://www.twitter.com/NathanBLawrence/status/976912219626713088", "976912219626713088")</f>
        <v/>
      </c>
      <c r="B672" s="2" t="n">
        <v>43181.83561342592</v>
      </c>
      <c r="C672" t="n">
        <v>0</v>
      </c>
      <c r="D672" t="n">
        <v>0</v>
      </c>
      <c r="E672" t="s">
        <v>683</v>
      </c>
      <c r="F672" t="s"/>
      <c r="G672" t="s"/>
      <c r="H672" t="s"/>
      <c r="I672" t="s"/>
      <c r="J672" t="n">
        <v>0</v>
      </c>
      <c r="K672" t="n">
        <v>0</v>
      </c>
      <c r="L672" t="n">
        <v>1</v>
      </c>
      <c r="M672" t="n">
        <v>0</v>
      </c>
    </row>
    <row r="673" spans="1:13">
      <c r="A673" s="1">
        <f>HYPERLINK("http://www.twitter.com/NathanBLawrence/status/976911465763475456", "976911465763475456")</f>
        <v/>
      </c>
      <c r="B673" s="2" t="n">
        <v>43181.83354166667</v>
      </c>
      <c r="C673" t="n">
        <v>1</v>
      </c>
      <c r="D673" t="n">
        <v>0</v>
      </c>
      <c r="E673" t="s">
        <v>684</v>
      </c>
      <c r="F673" t="s"/>
      <c r="G673" t="s"/>
      <c r="H673" t="s"/>
      <c r="I673" t="s"/>
      <c r="J673" t="n">
        <v>0.7003</v>
      </c>
      <c r="K673" t="n">
        <v>0</v>
      </c>
      <c r="L673" t="n">
        <v>0.707</v>
      </c>
      <c r="M673" t="n">
        <v>0.293</v>
      </c>
    </row>
    <row r="674" spans="1:13">
      <c r="A674" s="1">
        <f>HYPERLINK("http://www.twitter.com/NathanBLawrence/status/976863471978639360", "976863471978639360")</f>
        <v/>
      </c>
      <c r="B674" s="2" t="n">
        <v>43181.70109953704</v>
      </c>
      <c r="C674" t="n">
        <v>2</v>
      </c>
      <c r="D674" t="n">
        <v>0</v>
      </c>
      <c r="E674" t="s">
        <v>685</v>
      </c>
      <c r="F674" t="s"/>
      <c r="G674" t="s"/>
      <c r="H674" t="s"/>
      <c r="I674" t="s"/>
      <c r="J674" t="n">
        <v>0</v>
      </c>
      <c r="K674" t="n">
        <v>0</v>
      </c>
      <c r="L674" t="n">
        <v>1</v>
      </c>
      <c r="M674" t="n">
        <v>0</v>
      </c>
    </row>
    <row r="675" spans="1:13">
      <c r="A675" s="1">
        <f>HYPERLINK("http://www.twitter.com/NathanBLawrence/status/976863195972456449", "976863195972456449")</f>
        <v/>
      </c>
      <c r="B675" s="2" t="n">
        <v>43181.70033564815</v>
      </c>
      <c r="C675" t="n">
        <v>4</v>
      </c>
      <c r="D675" t="n">
        <v>0</v>
      </c>
      <c r="E675" t="s">
        <v>686</v>
      </c>
      <c r="F675" t="s"/>
      <c r="G675" t="s"/>
      <c r="H675" t="s"/>
      <c r="I675" t="s"/>
      <c r="J675" t="n">
        <v>-0.1877</v>
      </c>
      <c r="K675" t="n">
        <v>0.136</v>
      </c>
      <c r="L675" t="n">
        <v>0.764</v>
      </c>
      <c r="M675" t="n">
        <v>0.1</v>
      </c>
    </row>
    <row r="676" spans="1:13">
      <c r="A676" s="1">
        <f>HYPERLINK("http://www.twitter.com/NathanBLawrence/status/976861983365586944", "976861983365586944")</f>
        <v/>
      </c>
      <c r="B676" s="2" t="n">
        <v>43181.69699074074</v>
      </c>
      <c r="C676" t="n">
        <v>1</v>
      </c>
      <c r="D676" t="n">
        <v>1</v>
      </c>
      <c r="E676" t="s">
        <v>687</v>
      </c>
      <c r="F676" t="s"/>
      <c r="G676" t="s"/>
      <c r="H676" t="s"/>
      <c r="I676" t="s"/>
      <c r="J676" t="n">
        <v>-0.5266999999999999</v>
      </c>
      <c r="K676" t="n">
        <v>0.423</v>
      </c>
      <c r="L676" t="n">
        <v>0.577</v>
      </c>
      <c r="M676" t="n">
        <v>0</v>
      </c>
    </row>
    <row r="677" spans="1:13">
      <c r="A677" s="1">
        <f>HYPERLINK("http://www.twitter.com/NathanBLawrence/status/976815651548549122", "976815651548549122")</f>
        <v/>
      </c>
      <c r="B677" s="2" t="n">
        <v>43181.56914351852</v>
      </c>
      <c r="C677" t="n">
        <v>0</v>
      </c>
      <c r="D677" t="n">
        <v>0</v>
      </c>
      <c r="E677" t="s">
        <v>688</v>
      </c>
      <c r="F677" t="s"/>
      <c r="G677" t="s"/>
      <c r="H677" t="s"/>
      <c r="I677" t="s"/>
      <c r="J677" t="n">
        <v>0</v>
      </c>
      <c r="K677" t="n">
        <v>0</v>
      </c>
      <c r="L677" t="n">
        <v>1</v>
      </c>
      <c r="M677" t="n">
        <v>0</v>
      </c>
    </row>
    <row r="678" spans="1:13">
      <c r="A678" s="1">
        <f>HYPERLINK("http://www.twitter.com/NathanBLawrence/status/976809415809658880", "976809415809658880")</f>
        <v/>
      </c>
      <c r="B678" s="2" t="n">
        <v>43181.55193287037</v>
      </c>
      <c r="C678" t="n">
        <v>0</v>
      </c>
      <c r="D678" t="n">
        <v>0</v>
      </c>
      <c r="E678" t="s">
        <v>689</v>
      </c>
      <c r="F678" t="s"/>
      <c r="G678" t="s"/>
      <c r="H678" t="s"/>
      <c r="I678" t="s"/>
      <c r="J678" t="n">
        <v>0</v>
      </c>
      <c r="K678" t="n">
        <v>0</v>
      </c>
      <c r="L678" t="n">
        <v>1</v>
      </c>
      <c r="M678" t="n">
        <v>0</v>
      </c>
    </row>
    <row r="679" spans="1:13">
      <c r="A679" s="1">
        <f>HYPERLINK("http://www.twitter.com/NathanBLawrence/status/976807830731845633", "976807830731845633")</f>
        <v/>
      </c>
      <c r="B679" s="2" t="n">
        <v>43181.54755787037</v>
      </c>
      <c r="C679" t="n">
        <v>0</v>
      </c>
      <c r="D679" t="n">
        <v>2101</v>
      </c>
      <c r="E679" t="s">
        <v>690</v>
      </c>
      <c r="F679">
        <f>HYPERLINK("https://video.twimg.com/amplify_video/976786953432653825/vid/1280x720/wvN_hHaeFdTKMIUJ.mp4", "https://video.twimg.com/amplify_video/976786953432653825/vid/1280x720/wvN_hHaeFdTKMIUJ.mp4")</f>
        <v/>
      </c>
      <c r="G679" t="s"/>
      <c r="H679" t="s"/>
      <c r="I679" t="s"/>
      <c r="J679" t="n">
        <v>0.4215</v>
      </c>
      <c r="K679" t="n">
        <v>0</v>
      </c>
      <c r="L679" t="n">
        <v>0.865</v>
      </c>
      <c r="M679" t="n">
        <v>0.135</v>
      </c>
    </row>
    <row r="680" spans="1:13">
      <c r="A680" s="1">
        <f>HYPERLINK("http://www.twitter.com/NathanBLawrence/status/976797930593116160", "976797930593116160")</f>
        <v/>
      </c>
      <c r="B680" s="2" t="n">
        <v>43181.52024305556</v>
      </c>
      <c r="C680" t="n">
        <v>0</v>
      </c>
      <c r="D680" t="n">
        <v>0</v>
      </c>
      <c r="E680" t="s">
        <v>691</v>
      </c>
      <c r="F680" t="s"/>
      <c r="G680" t="s"/>
      <c r="H680" t="s"/>
      <c r="I680" t="s"/>
      <c r="J680" t="n">
        <v>0</v>
      </c>
      <c r="K680" t="n">
        <v>0</v>
      </c>
      <c r="L680" t="n">
        <v>1</v>
      </c>
      <c r="M680" t="n">
        <v>0</v>
      </c>
    </row>
    <row r="681" spans="1:13">
      <c r="A681" s="1">
        <f>HYPERLINK("http://www.twitter.com/NathanBLawrence/status/976797729786679296", "976797729786679296")</f>
        <v/>
      </c>
      <c r="B681" s="2" t="n">
        <v>43181.5196875</v>
      </c>
      <c r="C681" t="n">
        <v>8</v>
      </c>
      <c r="D681" t="n">
        <v>7</v>
      </c>
      <c r="E681" t="s">
        <v>692</v>
      </c>
      <c r="F681" t="s"/>
      <c r="G681" t="s"/>
      <c r="H681" t="s"/>
      <c r="I681" t="s"/>
      <c r="J681" t="n">
        <v>0</v>
      </c>
      <c r="K681" t="n">
        <v>0</v>
      </c>
      <c r="L681" t="n">
        <v>1</v>
      </c>
      <c r="M681" t="n">
        <v>0</v>
      </c>
    </row>
    <row r="682" spans="1:13">
      <c r="A682" s="1">
        <f>HYPERLINK("http://www.twitter.com/NathanBLawrence/status/976797429579309056", "976797429579309056")</f>
        <v/>
      </c>
      <c r="B682" s="2" t="n">
        <v>43181.51885416666</v>
      </c>
      <c r="C682" t="n">
        <v>0</v>
      </c>
      <c r="D682" t="n">
        <v>192</v>
      </c>
      <c r="E682" t="s">
        <v>693</v>
      </c>
      <c r="F682">
        <f>HYPERLINK("http://pbs.twimg.com/media/DY4De2HU8AA6JwI.jpg", "http://pbs.twimg.com/media/DY4De2HU8AA6JwI.jpg")</f>
        <v/>
      </c>
      <c r="G682" t="s"/>
      <c r="H682" t="s"/>
      <c r="I682" t="s"/>
      <c r="J682" t="n">
        <v>-0.8011</v>
      </c>
      <c r="K682" t="n">
        <v>0.285</v>
      </c>
      <c r="L682" t="n">
        <v>0.715</v>
      </c>
      <c r="M682" t="n">
        <v>0</v>
      </c>
    </row>
    <row r="683" spans="1:13">
      <c r="A683" s="1">
        <f>HYPERLINK("http://www.twitter.com/NathanBLawrence/status/976547755194748928", "976547755194748928")</f>
        <v/>
      </c>
      <c r="B683" s="2" t="n">
        <v>43180.82988425926</v>
      </c>
      <c r="C683" t="n">
        <v>0</v>
      </c>
      <c r="D683" t="n">
        <v>6</v>
      </c>
      <c r="E683" t="s">
        <v>694</v>
      </c>
      <c r="F683" t="s"/>
      <c r="G683" t="s"/>
      <c r="H683" t="s"/>
      <c r="I683" t="s"/>
      <c r="J683" t="n">
        <v>-0.6229</v>
      </c>
      <c r="K683" t="n">
        <v>0.23</v>
      </c>
      <c r="L683" t="n">
        <v>0.77</v>
      </c>
      <c r="M683" t="n">
        <v>0</v>
      </c>
    </row>
    <row r="684" spans="1:13">
      <c r="A684" s="1">
        <f>HYPERLINK("http://www.twitter.com/NathanBLawrence/status/976481826675003393", "976481826675003393")</f>
        <v/>
      </c>
      <c r="B684" s="2" t="n">
        <v>43180.64796296296</v>
      </c>
      <c r="C684" t="n">
        <v>2</v>
      </c>
      <c r="D684" t="n">
        <v>2</v>
      </c>
      <c r="E684" t="s">
        <v>695</v>
      </c>
      <c r="F684" t="s"/>
      <c r="G684" t="s"/>
      <c r="H684" t="s"/>
      <c r="I684" t="s"/>
      <c r="J684" t="n">
        <v>-0.8316</v>
      </c>
      <c r="K684" t="n">
        <v>0.262</v>
      </c>
      <c r="L684" t="n">
        <v>0.738</v>
      </c>
      <c r="M684" t="n">
        <v>0</v>
      </c>
    </row>
    <row r="685" spans="1:13">
      <c r="A685" s="1">
        <f>HYPERLINK("http://www.twitter.com/NathanBLawrence/status/976455113920442369", "976455113920442369")</f>
        <v/>
      </c>
      <c r="B685" s="2" t="n">
        <v>43180.57424768519</v>
      </c>
      <c r="C685" t="n">
        <v>0</v>
      </c>
      <c r="D685" t="n">
        <v>31</v>
      </c>
      <c r="E685" t="s">
        <v>696</v>
      </c>
      <c r="F685">
        <f>HYPERLINK("http://pbs.twimg.com/media/DYbJop8XUAAKVp0.jpg", "http://pbs.twimg.com/media/DYbJop8XUAAKVp0.jpg")</f>
        <v/>
      </c>
      <c r="G685" t="s"/>
      <c r="H685" t="s"/>
      <c r="I685" t="s"/>
      <c r="J685" t="n">
        <v>0.3802</v>
      </c>
      <c r="K685" t="n">
        <v>0</v>
      </c>
      <c r="L685" t="n">
        <v>0.885</v>
      </c>
      <c r="M685" t="n">
        <v>0.115</v>
      </c>
    </row>
    <row r="686" spans="1:13">
      <c r="A686" s="1">
        <f>HYPERLINK("http://www.twitter.com/NathanBLawrence/status/976434265352269825", "976434265352269825")</f>
        <v/>
      </c>
      <c r="B686" s="2" t="n">
        <v>43180.51671296296</v>
      </c>
      <c r="C686" t="n">
        <v>1</v>
      </c>
      <c r="D686" t="n">
        <v>0</v>
      </c>
      <c r="E686" t="s">
        <v>697</v>
      </c>
      <c r="F686" t="s"/>
      <c r="G686" t="s"/>
      <c r="H686" t="s"/>
      <c r="I686" t="s"/>
      <c r="J686" t="n">
        <v>0</v>
      </c>
      <c r="K686" t="n">
        <v>0</v>
      </c>
      <c r="L686" t="n">
        <v>1</v>
      </c>
      <c r="M686" t="n">
        <v>0</v>
      </c>
    </row>
    <row r="687" spans="1:13">
      <c r="A687" s="1">
        <f>HYPERLINK("http://www.twitter.com/NathanBLawrence/status/976294952287137792", "976294952287137792")</f>
        <v/>
      </c>
      <c r="B687" s="2" t="n">
        <v>43180.13228009259</v>
      </c>
      <c r="C687" t="n">
        <v>3</v>
      </c>
      <c r="D687" t="n">
        <v>1</v>
      </c>
      <c r="E687" t="s">
        <v>698</v>
      </c>
      <c r="F687" t="s"/>
      <c r="G687" t="s"/>
      <c r="H687" t="s"/>
      <c r="I687" t="s"/>
      <c r="J687" t="n">
        <v>0</v>
      </c>
      <c r="K687" t="n">
        <v>0</v>
      </c>
      <c r="L687" t="n">
        <v>1</v>
      </c>
      <c r="M687" t="n">
        <v>0</v>
      </c>
    </row>
    <row r="688" spans="1:13">
      <c r="A688" s="1">
        <f>HYPERLINK("http://www.twitter.com/NathanBLawrence/status/976292211397574658", "976292211397574658")</f>
        <v/>
      </c>
      <c r="B688" s="2" t="n">
        <v>43180.12472222222</v>
      </c>
      <c r="C688" t="n">
        <v>1</v>
      </c>
      <c r="D688" t="n">
        <v>0</v>
      </c>
      <c r="E688" t="s">
        <v>699</v>
      </c>
      <c r="F688" t="s"/>
      <c r="G688" t="s"/>
      <c r="H688" t="s"/>
      <c r="I688" t="s"/>
      <c r="J688" t="n">
        <v>0.9485</v>
      </c>
      <c r="K688" t="n">
        <v>0</v>
      </c>
      <c r="L688" t="n">
        <v>0.665</v>
      </c>
      <c r="M688" t="n">
        <v>0.335</v>
      </c>
    </row>
    <row r="689" spans="1:13">
      <c r="A689" s="1">
        <f>HYPERLINK("http://www.twitter.com/NathanBLawrence/status/976290713615843329", "976290713615843329")</f>
        <v/>
      </c>
      <c r="B689" s="2" t="n">
        <v>43180.12059027778</v>
      </c>
      <c r="C689" t="n">
        <v>1</v>
      </c>
      <c r="D689" t="n">
        <v>0</v>
      </c>
      <c r="E689" t="s">
        <v>700</v>
      </c>
      <c r="F689" t="s"/>
      <c r="G689" t="s"/>
      <c r="H689" t="s"/>
      <c r="I689" t="s"/>
      <c r="J689" t="n">
        <v>-0.4215</v>
      </c>
      <c r="K689" t="n">
        <v>0.189</v>
      </c>
      <c r="L689" t="n">
        <v>0.8110000000000001</v>
      </c>
      <c r="M689" t="n">
        <v>0</v>
      </c>
    </row>
    <row r="690" spans="1:13">
      <c r="A690" s="1">
        <f>HYPERLINK("http://www.twitter.com/NathanBLawrence/status/976289922117021696", "976289922117021696")</f>
        <v/>
      </c>
      <c r="B690" s="2" t="n">
        <v>43180.11840277778</v>
      </c>
      <c r="C690" t="n">
        <v>0</v>
      </c>
      <c r="D690" t="n">
        <v>3</v>
      </c>
      <c r="E690" t="s">
        <v>701</v>
      </c>
      <c r="F690" t="s"/>
      <c r="G690" t="s"/>
      <c r="H690" t="s"/>
      <c r="I690" t="s"/>
      <c r="J690" t="n">
        <v>-0.4738</v>
      </c>
      <c r="K690" t="n">
        <v>0.219</v>
      </c>
      <c r="L690" t="n">
        <v>0.781</v>
      </c>
      <c r="M690" t="n">
        <v>0</v>
      </c>
    </row>
    <row r="691" spans="1:13">
      <c r="A691" s="1">
        <f>HYPERLINK("http://www.twitter.com/NathanBLawrence/status/976289644315688961", "976289644315688961")</f>
        <v/>
      </c>
      <c r="B691" s="2" t="n">
        <v>43180.11763888889</v>
      </c>
      <c r="C691" t="n">
        <v>0</v>
      </c>
      <c r="D691" t="n">
        <v>0</v>
      </c>
      <c r="E691" t="s">
        <v>702</v>
      </c>
      <c r="F691" t="s"/>
      <c r="G691" t="s"/>
      <c r="H691" t="s"/>
      <c r="I691" t="s"/>
      <c r="J691" t="n">
        <v>0</v>
      </c>
      <c r="K691" t="n">
        <v>0</v>
      </c>
      <c r="L691" t="n">
        <v>1</v>
      </c>
      <c r="M691" t="n">
        <v>0</v>
      </c>
    </row>
    <row r="692" spans="1:13">
      <c r="A692" s="1">
        <f>HYPERLINK("http://www.twitter.com/NathanBLawrence/status/976288717701705728", "976288717701705728")</f>
        <v/>
      </c>
      <c r="B692" s="2" t="n">
        <v>43180.11508101852</v>
      </c>
      <c r="C692" t="n">
        <v>0</v>
      </c>
      <c r="D692" t="n">
        <v>0</v>
      </c>
      <c r="E692" t="s">
        <v>703</v>
      </c>
      <c r="F692" t="s"/>
      <c r="G692" t="s"/>
      <c r="H692" t="s"/>
      <c r="I692" t="s"/>
      <c r="J692" t="n">
        <v>-0.3612</v>
      </c>
      <c r="K692" t="n">
        <v>0.172</v>
      </c>
      <c r="L692" t="n">
        <v>0.828</v>
      </c>
      <c r="M692" t="n">
        <v>0</v>
      </c>
    </row>
    <row r="693" spans="1:13">
      <c r="A693" s="1">
        <f>HYPERLINK("http://www.twitter.com/NathanBLawrence/status/976287973061804033", "976287973061804033")</f>
        <v/>
      </c>
      <c r="B693" s="2" t="n">
        <v>43180.11302083333</v>
      </c>
      <c r="C693" t="n">
        <v>1</v>
      </c>
      <c r="D693" t="n">
        <v>0</v>
      </c>
      <c r="E693" t="s">
        <v>704</v>
      </c>
      <c r="F693" t="s"/>
      <c r="G693" t="s"/>
      <c r="H693" t="s"/>
      <c r="I693" t="s"/>
      <c r="J693" t="n">
        <v>0.6597</v>
      </c>
      <c r="K693" t="n">
        <v>0.178</v>
      </c>
      <c r="L693" t="n">
        <v>0.385</v>
      </c>
      <c r="M693" t="n">
        <v>0.438</v>
      </c>
    </row>
    <row r="694" spans="1:13">
      <c r="A694" s="1">
        <f>HYPERLINK("http://www.twitter.com/NathanBLawrence/status/976281942575349760", "976281942575349760")</f>
        <v/>
      </c>
      <c r="B694" s="2" t="n">
        <v>43180.09638888889</v>
      </c>
      <c r="C694" t="n">
        <v>1</v>
      </c>
      <c r="D694" t="n">
        <v>0</v>
      </c>
      <c r="E694" t="s">
        <v>705</v>
      </c>
      <c r="F694" t="s"/>
      <c r="G694" t="s"/>
      <c r="H694" t="s"/>
      <c r="I694" t="s"/>
      <c r="J694" t="n">
        <v>0.4404</v>
      </c>
      <c r="K694" t="n">
        <v>0.159</v>
      </c>
      <c r="L694" t="n">
        <v>0.552</v>
      </c>
      <c r="M694" t="n">
        <v>0.29</v>
      </c>
    </row>
    <row r="695" spans="1:13">
      <c r="A695" s="1">
        <f>HYPERLINK("http://www.twitter.com/NathanBLawrence/status/976279911680880640", "976279911680880640")</f>
        <v/>
      </c>
      <c r="B695" s="2" t="n">
        <v>43180.09078703704</v>
      </c>
      <c r="C695" t="n">
        <v>0</v>
      </c>
      <c r="D695" t="n">
        <v>0</v>
      </c>
      <c r="E695" t="s">
        <v>706</v>
      </c>
      <c r="F695" t="s"/>
      <c r="G695" t="s"/>
      <c r="H695" t="s"/>
      <c r="I695" t="s"/>
      <c r="J695" t="n">
        <v>0</v>
      </c>
      <c r="K695" t="n">
        <v>0</v>
      </c>
      <c r="L695" t="n">
        <v>1</v>
      </c>
      <c r="M695" t="n">
        <v>0</v>
      </c>
    </row>
    <row r="696" spans="1:13">
      <c r="A696" s="1">
        <f>HYPERLINK("http://www.twitter.com/NathanBLawrence/status/976279664883896320", "976279664883896320")</f>
        <v/>
      </c>
      <c r="B696" s="2" t="n">
        <v>43180.09010416667</v>
      </c>
      <c r="C696" t="n">
        <v>0</v>
      </c>
      <c r="D696" t="n">
        <v>0</v>
      </c>
      <c r="E696" t="s">
        <v>707</v>
      </c>
      <c r="F696" t="s"/>
      <c r="G696" t="s"/>
      <c r="H696" t="s"/>
      <c r="I696" t="s"/>
      <c r="J696" t="n">
        <v>-0.3182</v>
      </c>
      <c r="K696" t="n">
        <v>0.126</v>
      </c>
      <c r="L696" t="n">
        <v>0.874</v>
      </c>
      <c r="M696" t="n">
        <v>0</v>
      </c>
    </row>
    <row r="697" spans="1:13">
      <c r="A697" s="1">
        <f>HYPERLINK("http://www.twitter.com/NathanBLawrence/status/976253611616428033", "976253611616428033")</f>
        <v/>
      </c>
      <c r="B697" s="2" t="n">
        <v>43180.01820601852</v>
      </c>
      <c r="C697" t="n">
        <v>3</v>
      </c>
      <c r="D697" t="n">
        <v>0</v>
      </c>
      <c r="E697" t="s">
        <v>708</v>
      </c>
      <c r="F697" t="s"/>
      <c r="G697" t="s"/>
      <c r="H697" t="s"/>
      <c r="I697" t="s"/>
      <c r="J697" t="n">
        <v>0</v>
      </c>
      <c r="K697" t="n">
        <v>0</v>
      </c>
      <c r="L697" t="n">
        <v>1</v>
      </c>
      <c r="M697" t="n">
        <v>0</v>
      </c>
    </row>
    <row r="698" spans="1:13">
      <c r="A698" s="1">
        <f>HYPERLINK("http://www.twitter.com/NathanBLawrence/status/976195075477827584", "976195075477827584")</f>
        <v/>
      </c>
      <c r="B698" s="2" t="n">
        <v>43179.85667824074</v>
      </c>
      <c r="C698" t="n">
        <v>2</v>
      </c>
      <c r="D698" t="n">
        <v>1</v>
      </c>
      <c r="E698" t="s">
        <v>709</v>
      </c>
      <c r="F698" t="s"/>
      <c r="G698" t="s"/>
      <c r="H698" t="s"/>
      <c r="I698" t="s"/>
      <c r="J698" t="n">
        <v>0</v>
      </c>
      <c r="K698" t="n">
        <v>0</v>
      </c>
      <c r="L698" t="n">
        <v>1</v>
      </c>
      <c r="M698" t="n">
        <v>0</v>
      </c>
    </row>
    <row r="699" spans="1:13">
      <c r="A699" s="1">
        <f>HYPERLINK("http://www.twitter.com/NathanBLawrence/status/976177589835444231", "976177589835444231")</f>
        <v/>
      </c>
      <c r="B699" s="2" t="n">
        <v>43179.80842592593</v>
      </c>
      <c r="C699" t="n">
        <v>9</v>
      </c>
      <c r="D699" t="n">
        <v>6</v>
      </c>
      <c r="E699" t="s">
        <v>710</v>
      </c>
      <c r="F699" t="s"/>
      <c r="G699" t="s"/>
      <c r="H699" t="s"/>
      <c r="I699" t="s"/>
      <c r="J699" t="n">
        <v>-0.4184</v>
      </c>
      <c r="K699" t="n">
        <v>0.236</v>
      </c>
      <c r="L699" t="n">
        <v>0.764</v>
      </c>
      <c r="M699" t="n">
        <v>0</v>
      </c>
    </row>
    <row r="700" spans="1:13">
      <c r="A700" s="1">
        <f>HYPERLINK("http://www.twitter.com/NathanBLawrence/status/976141019803803649", "976141019803803649")</f>
        <v/>
      </c>
      <c r="B700" s="2" t="n">
        <v>43179.70751157407</v>
      </c>
      <c r="C700" t="n">
        <v>1</v>
      </c>
      <c r="D700" t="n">
        <v>0</v>
      </c>
      <c r="E700" t="s">
        <v>711</v>
      </c>
      <c r="F700" t="s"/>
      <c r="G700" t="s"/>
      <c r="H700" t="s"/>
      <c r="I700" t="s"/>
      <c r="J700" t="n">
        <v>0.3612</v>
      </c>
      <c r="K700" t="n">
        <v>0</v>
      </c>
      <c r="L700" t="n">
        <v>0.872</v>
      </c>
      <c r="M700" t="n">
        <v>0.128</v>
      </c>
    </row>
    <row r="701" spans="1:13">
      <c r="A701" s="1">
        <f>HYPERLINK("http://www.twitter.com/NathanBLawrence/status/976138140665688064", "976138140665688064")</f>
        <v/>
      </c>
      <c r="B701" s="2" t="n">
        <v>43179.69957175926</v>
      </c>
      <c r="C701" t="n">
        <v>0</v>
      </c>
      <c r="D701" t="n">
        <v>0</v>
      </c>
      <c r="E701" t="s">
        <v>712</v>
      </c>
      <c r="F701" t="s"/>
      <c r="G701" t="s"/>
      <c r="H701" t="s"/>
      <c r="I701" t="s"/>
      <c r="J701" t="n">
        <v>0.128</v>
      </c>
      <c r="K701" t="n">
        <v>0.212</v>
      </c>
      <c r="L701" t="n">
        <v>0.531</v>
      </c>
      <c r="M701" t="n">
        <v>0.257</v>
      </c>
    </row>
    <row r="702" spans="1:13">
      <c r="A702" s="1">
        <f>HYPERLINK("http://www.twitter.com/NathanBLawrence/status/976137594244386816", "976137594244386816")</f>
        <v/>
      </c>
      <c r="B702" s="2" t="n">
        <v>43179.69805555556</v>
      </c>
      <c r="C702" t="n">
        <v>0</v>
      </c>
      <c r="D702" t="n">
        <v>0</v>
      </c>
      <c r="E702" t="s">
        <v>713</v>
      </c>
      <c r="F702" t="s"/>
      <c r="G702" t="s"/>
      <c r="H702" t="s"/>
      <c r="I702" t="s"/>
      <c r="J702" t="n">
        <v>0.4939</v>
      </c>
      <c r="K702" t="n">
        <v>0</v>
      </c>
      <c r="L702" t="n">
        <v>0.61</v>
      </c>
      <c r="M702" t="n">
        <v>0.39</v>
      </c>
    </row>
    <row r="703" spans="1:13">
      <c r="A703" s="1">
        <f>HYPERLINK("http://www.twitter.com/NathanBLawrence/status/976132503508537344", "976132503508537344")</f>
        <v/>
      </c>
      <c r="B703" s="2" t="n">
        <v>43179.6840162037</v>
      </c>
      <c r="C703" t="n">
        <v>0</v>
      </c>
      <c r="D703" t="n">
        <v>66</v>
      </c>
      <c r="E703" t="s">
        <v>714</v>
      </c>
      <c r="F703">
        <f>HYPERLINK("https://video.twimg.com/amplify_video/976118238827302912/vid/1280x720/vIAkQa13CWjYC71q.mp4", "https://video.twimg.com/amplify_video/976118238827302912/vid/1280x720/vIAkQa13CWjYC71q.mp4")</f>
        <v/>
      </c>
      <c r="G703" t="s"/>
      <c r="H703" t="s"/>
      <c r="I703" t="s"/>
      <c r="J703" t="n">
        <v>0.6597</v>
      </c>
      <c r="K703" t="n">
        <v>0</v>
      </c>
      <c r="L703" t="n">
        <v>0.769</v>
      </c>
      <c r="M703" t="n">
        <v>0.231</v>
      </c>
    </row>
    <row r="704" spans="1:13">
      <c r="A704" s="1">
        <f>HYPERLINK("http://www.twitter.com/NathanBLawrence/status/976132367134937091", "976132367134937091")</f>
        <v/>
      </c>
      <c r="B704" s="2" t="n">
        <v>43179.68363425926</v>
      </c>
      <c r="C704" t="n">
        <v>1</v>
      </c>
      <c r="D704" t="n">
        <v>0</v>
      </c>
      <c r="E704" t="s">
        <v>715</v>
      </c>
      <c r="F704" t="s"/>
      <c r="G704" t="s"/>
      <c r="H704" t="s"/>
      <c r="I704" t="s"/>
      <c r="J704" t="n">
        <v>0</v>
      </c>
      <c r="K704" t="n">
        <v>0</v>
      </c>
      <c r="L704" t="n">
        <v>1</v>
      </c>
      <c r="M704" t="n">
        <v>0</v>
      </c>
    </row>
    <row r="705" spans="1:13">
      <c r="A705" s="1">
        <f>HYPERLINK("http://www.twitter.com/NathanBLawrence/status/976129070437142530", "976129070437142530")</f>
        <v/>
      </c>
      <c r="B705" s="2" t="n">
        <v>43179.67453703703</v>
      </c>
      <c r="C705" t="n">
        <v>1</v>
      </c>
      <c r="D705" t="n">
        <v>0</v>
      </c>
      <c r="E705" t="s">
        <v>716</v>
      </c>
      <c r="F705" t="s"/>
      <c r="G705" t="s"/>
      <c r="H705" t="s"/>
      <c r="I705" t="s"/>
      <c r="J705" t="n">
        <v>0.6556999999999999</v>
      </c>
      <c r="K705" t="n">
        <v>0</v>
      </c>
      <c r="L705" t="n">
        <v>0.723</v>
      </c>
      <c r="M705" t="n">
        <v>0.277</v>
      </c>
    </row>
    <row r="706" spans="1:13">
      <c r="A706" s="1">
        <f>HYPERLINK("http://www.twitter.com/NathanBLawrence/status/976128162513014784", "976128162513014784")</f>
        <v/>
      </c>
      <c r="B706" s="2" t="n">
        <v>43179.67203703704</v>
      </c>
      <c r="C706" t="n">
        <v>2</v>
      </c>
      <c r="D706" t="n">
        <v>0</v>
      </c>
      <c r="E706" t="s">
        <v>717</v>
      </c>
      <c r="F706" t="s"/>
      <c r="G706" t="s"/>
      <c r="H706" t="s"/>
      <c r="I706" t="s"/>
      <c r="J706" t="n">
        <v>-0.5266999999999999</v>
      </c>
      <c r="K706" t="n">
        <v>0.427</v>
      </c>
      <c r="L706" t="n">
        <v>0.364</v>
      </c>
      <c r="M706" t="n">
        <v>0.209</v>
      </c>
    </row>
    <row r="707" spans="1:13">
      <c r="A707" s="1">
        <f>HYPERLINK("http://www.twitter.com/NathanBLawrence/status/976094692860420096", "976094692860420096")</f>
        <v/>
      </c>
      <c r="B707" s="2" t="n">
        <v>43179.57967592592</v>
      </c>
      <c r="C707" t="n">
        <v>0</v>
      </c>
      <c r="D707" t="n">
        <v>1</v>
      </c>
      <c r="E707" t="s">
        <v>718</v>
      </c>
      <c r="F707" t="s"/>
      <c r="G707" t="s"/>
      <c r="H707" t="s"/>
      <c r="I707" t="s"/>
      <c r="J707" t="n">
        <v>-0.2263</v>
      </c>
      <c r="K707" t="n">
        <v>0.147</v>
      </c>
      <c r="L707" t="n">
        <v>0.853</v>
      </c>
      <c r="M707" t="n">
        <v>0</v>
      </c>
    </row>
    <row r="708" spans="1:13">
      <c r="A708" s="1">
        <f>HYPERLINK("http://www.twitter.com/NathanBLawrence/status/976094287883587585", "976094287883587585")</f>
        <v/>
      </c>
      <c r="B708" s="2" t="n">
        <v>43179.57855324074</v>
      </c>
      <c r="C708" t="n">
        <v>6</v>
      </c>
      <c r="D708" t="n">
        <v>2</v>
      </c>
      <c r="E708" t="s">
        <v>719</v>
      </c>
      <c r="F708" t="s"/>
      <c r="G708" t="s"/>
      <c r="H708" t="s"/>
      <c r="I708" t="s"/>
      <c r="J708" t="n">
        <v>-0.2263</v>
      </c>
      <c r="K708" t="n">
        <v>0.241</v>
      </c>
      <c r="L708" t="n">
        <v>0.759</v>
      </c>
      <c r="M708" t="n">
        <v>0</v>
      </c>
    </row>
    <row r="709" spans="1:13">
      <c r="A709" s="1">
        <f>HYPERLINK("http://www.twitter.com/NathanBLawrence/status/976087813828562944", "976087813828562944")</f>
        <v/>
      </c>
      <c r="B709" s="2" t="n">
        <v>43179.56069444444</v>
      </c>
      <c r="C709" t="n">
        <v>0</v>
      </c>
      <c r="D709" t="n">
        <v>0</v>
      </c>
      <c r="E709" t="s">
        <v>720</v>
      </c>
      <c r="F709" t="s"/>
      <c r="G709" t="s"/>
      <c r="H709" t="s"/>
      <c r="I709" t="s"/>
      <c r="J709" t="n">
        <v>-0.4767</v>
      </c>
      <c r="K709" t="n">
        <v>0.171</v>
      </c>
      <c r="L709" t="n">
        <v>0.829</v>
      </c>
      <c r="M709" t="n">
        <v>0</v>
      </c>
    </row>
    <row r="710" spans="1:13">
      <c r="A710" s="1">
        <f>HYPERLINK("http://www.twitter.com/NathanBLawrence/status/976083933573144577", "976083933573144577")</f>
        <v/>
      </c>
      <c r="B710" s="2" t="n">
        <v>43179.54998842593</v>
      </c>
      <c r="C710" t="n">
        <v>0</v>
      </c>
      <c r="D710" t="n">
        <v>20</v>
      </c>
      <c r="E710" t="s">
        <v>721</v>
      </c>
      <c r="F710">
        <f>HYPERLINK("http://pbs.twimg.com/media/DYb4EjoX4AA01Ba.jpg", "http://pbs.twimg.com/media/DYb4EjoX4AA01Ba.jpg")</f>
        <v/>
      </c>
      <c r="G710" t="s"/>
      <c r="H710" t="s"/>
      <c r="I710" t="s"/>
      <c r="J710" t="n">
        <v>0</v>
      </c>
      <c r="K710" t="n">
        <v>0</v>
      </c>
      <c r="L710" t="n">
        <v>1</v>
      </c>
      <c r="M710" t="n">
        <v>0</v>
      </c>
    </row>
    <row r="711" spans="1:13">
      <c r="A711" s="1">
        <f>HYPERLINK("http://www.twitter.com/NathanBLawrence/status/976079502018310144", "976079502018310144")</f>
        <v/>
      </c>
      <c r="B711" s="2" t="n">
        <v>43179.53775462963</v>
      </c>
      <c r="C711" t="n">
        <v>1</v>
      </c>
      <c r="D711" t="n">
        <v>0</v>
      </c>
      <c r="E711" t="s">
        <v>722</v>
      </c>
      <c r="F711" t="s"/>
      <c r="G711" t="s"/>
      <c r="H711" t="s"/>
      <c r="I711" t="s"/>
      <c r="J711" t="n">
        <v>-0.25</v>
      </c>
      <c r="K711" t="n">
        <v>0.38</v>
      </c>
      <c r="L711" t="n">
        <v>0.422</v>
      </c>
      <c r="M711" t="n">
        <v>0.199</v>
      </c>
    </row>
    <row r="712" spans="1:13">
      <c r="A712" s="1">
        <f>HYPERLINK("http://www.twitter.com/NathanBLawrence/status/976071084612218881", "976071084612218881")</f>
        <v/>
      </c>
      <c r="B712" s="2" t="n">
        <v>43179.51452546296</v>
      </c>
      <c r="C712" t="n">
        <v>0</v>
      </c>
      <c r="D712" t="n">
        <v>0</v>
      </c>
      <c r="E712" t="s">
        <v>723</v>
      </c>
      <c r="F712" t="s"/>
      <c r="G712" t="s"/>
      <c r="H712" t="s"/>
      <c r="I712" t="s"/>
      <c r="J712" t="n">
        <v>-0.1151</v>
      </c>
      <c r="K712" t="n">
        <v>0.264</v>
      </c>
      <c r="L712" t="n">
        <v>0.518</v>
      </c>
      <c r="M712" t="n">
        <v>0.218</v>
      </c>
    </row>
    <row r="713" spans="1:13">
      <c r="A713" s="1">
        <f>HYPERLINK("http://www.twitter.com/NathanBLawrence/status/976043049729044480", "976043049729044480")</f>
        <v/>
      </c>
      <c r="B713" s="2" t="n">
        <v>43179.43716435185</v>
      </c>
      <c r="C713" t="n">
        <v>1</v>
      </c>
      <c r="D713" t="n">
        <v>0</v>
      </c>
      <c r="E713" t="s">
        <v>724</v>
      </c>
      <c r="F713" t="s"/>
      <c r="G713" t="s"/>
      <c r="H713" t="s"/>
      <c r="I713" t="s"/>
      <c r="J713" t="n">
        <v>0.4404</v>
      </c>
      <c r="K713" t="n">
        <v>0</v>
      </c>
      <c r="L713" t="n">
        <v>0.861</v>
      </c>
      <c r="M713" t="n">
        <v>0.139</v>
      </c>
    </row>
    <row r="714" spans="1:13">
      <c r="A714" s="1">
        <f>HYPERLINK("http://www.twitter.com/NathanBLawrence/status/975927143388663808", "975927143388663808")</f>
        <v/>
      </c>
      <c r="B714" s="2" t="n">
        <v>43179.11732638889</v>
      </c>
      <c r="C714" t="n">
        <v>0</v>
      </c>
      <c r="D714" t="n">
        <v>0</v>
      </c>
      <c r="E714" t="s">
        <v>725</v>
      </c>
      <c r="F714" t="s"/>
      <c r="G714" t="s"/>
      <c r="H714" t="s"/>
      <c r="I714" t="s"/>
      <c r="J714" t="n">
        <v>-0.6908</v>
      </c>
      <c r="K714" t="n">
        <v>0.439</v>
      </c>
      <c r="L714" t="n">
        <v>0.5610000000000001</v>
      </c>
      <c r="M714" t="n">
        <v>0</v>
      </c>
    </row>
    <row r="715" spans="1:13">
      <c r="A715" s="1">
        <f>HYPERLINK("http://www.twitter.com/NathanBLawrence/status/975924289403793409", "975924289403793409")</f>
        <v/>
      </c>
      <c r="B715" s="2" t="n">
        <v>43179.10945601852</v>
      </c>
      <c r="C715" t="n">
        <v>0</v>
      </c>
      <c r="D715" t="n">
        <v>0</v>
      </c>
      <c r="E715" t="s">
        <v>726</v>
      </c>
      <c r="F715" t="s"/>
      <c r="G715" t="s"/>
      <c r="H715" t="s"/>
      <c r="I715" t="s"/>
      <c r="J715" t="n">
        <v>0.4939</v>
      </c>
      <c r="K715" t="n">
        <v>0</v>
      </c>
      <c r="L715" t="n">
        <v>0.714</v>
      </c>
      <c r="M715" t="n">
        <v>0.286</v>
      </c>
    </row>
    <row r="716" spans="1:13">
      <c r="A716" s="1">
        <f>HYPERLINK("http://www.twitter.com/NathanBLawrence/status/975921350073298949", "975921350073298949")</f>
        <v/>
      </c>
      <c r="B716" s="2" t="n">
        <v>43179.10134259259</v>
      </c>
      <c r="C716" t="n">
        <v>0</v>
      </c>
      <c r="D716" t="n">
        <v>0</v>
      </c>
      <c r="E716" t="s">
        <v>727</v>
      </c>
      <c r="F716" t="s"/>
      <c r="G716" t="s"/>
      <c r="H716" t="s"/>
      <c r="I716" t="s"/>
      <c r="J716" t="n">
        <v>-0.5994</v>
      </c>
      <c r="K716" t="n">
        <v>0.262</v>
      </c>
      <c r="L716" t="n">
        <v>0.738</v>
      </c>
      <c r="M716" t="n">
        <v>0</v>
      </c>
    </row>
    <row r="717" spans="1:13">
      <c r="A717" s="1">
        <f>HYPERLINK("http://www.twitter.com/NathanBLawrence/status/975917519524548610", "975917519524548610")</f>
        <v/>
      </c>
      <c r="B717" s="2" t="n">
        <v>43179.09076388889</v>
      </c>
      <c r="C717" t="n">
        <v>2</v>
      </c>
      <c r="D717" t="n">
        <v>0</v>
      </c>
      <c r="E717" t="s">
        <v>728</v>
      </c>
      <c r="F717" t="s"/>
      <c r="G717" t="s"/>
      <c r="H717" t="s"/>
      <c r="I717" t="s"/>
      <c r="J717" t="n">
        <v>0.3612</v>
      </c>
      <c r="K717" t="n">
        <v>0</v>
      </c>
      <c r="L717" t="n">
        <v>0.894</v>
      </c>
      <c r="M717" t="n">
        <v>0.106</v>
      </c>
    </row>
    <row r="718" spans="1:13">
      <c r="A718" s="1">
        <f>HYPERLINK("http://www.twitter.com/NathanBLawrence/status/975913109239095296", "975913109239095296")</f>
        <v/>
      </c>
      <c r="B718" s="2" t="n">
        <v>43179.07859953704</v>
      </c>
      <c r="C718" t="n">
        <v>1</v>
      </c>
      <c r="D718" t="n">
        <v>0</v>
      </c>
      <c r="E718" t="s">
        <v>729</v>
      </c>
      <c r="F718" t="s"/>
      <c r="G718" t="s"/>
      <c r="H718" t="s"/>
      <c r="I718" t="s"/>
      <c r="J718" t="n">
        <v>0</v>
      </c>
      <c r="K718" t="n">
        <v>0</v>
      </c>
      <c r="L718" t="n">
        <v>1</v>
      </c>
      <c r="M718" t="n">
        <v>0</v>
      </c>
    </row>
    <row r="719" spans="1:13">
      <c r="A719" s="1">
        <f>HYPERLINK("http://www.twitter.com/NathanBLawrence/status/975875520163434496", "975875520163434496")</f>
        <v/>
      </c>
      <c r="B719" s="2" t="n">
        <v>43178.97487268518</v>
      </c>
      <c r="C719" t="n">
        <v>4</v>
      </c>
      <c r="D719" t="n">
        <v>4</v>
      </c>
      <c r="E719" t="s">
        <v>730</v>
      </c>
      <c r="F719" t="s"/>
      <c r="G719" t="s"/>
      <c r="H719" t="s"/>
      <c r="I719" t="s"/>
      <c r="J719" t="n">
        <v>0.6808</v>
      </c>
      <c r="K719" t="n">
        <v>0.104</v>
      </c>
      <c r="L719" t="n">
        <v>0.625</v>
      </c>
      <c r="M719" t="n">
        <v>0.271</v>
      </c>
    </row>
    <row r="720" spans="1:13">
      <c r="A720" s="1">
        <f>HYPERLINK("http://www.twitter.com/NathanBLawrence/status/975791414037630976", "975791414037630976")</f>
        <v/>
      </c>
      <c r="B720" s="2" t="n">
        <v>43178.74278935185</v>
      </c>
      <c r="C720" t="n">
        <v>1</v>
      </c>
      <c r="D720" t="n">
        <v>0</v>
      </c>
      <c r="E720" t="s">
        <v>731</v>
      </c>
      <c r="F720" t="s"/>
      <c r="G720" t="s"/>
      <c r="H720" t="s"/>
      <c r="I720" t="s"/>
      <c r="J720" t="n">
        <v>0</v>
      </c>
      <c r="K720" t="n">
        <v>0</v>
      </c>
      <c r="L720" t="n">
        <v>1</v>
      </c>
      <c r="M720" t="n">
        <v>0</v>
      </c>
    </row>
    <row r="721" spans="1:13">
      <c r="A721" s="1">
        <f>HYPERLINK("http://www.twitter.com/NathanBLawrence/status/975775997151924224", "975775997151924224")</f>
        <v/>
      </c>
      <c r="B721" s="2" t="n">
        <v>43178.70024305556</v>
      </c>
      <c r="C721" t="n">
        <v>0</v>
      </c>
      <c r="D721" t="n">
        <v>0</v>
      </c>
      <c r="E721" t="s">
        <v>732</v>
      </c>
      <c r="F721" t="s"/>
      <c r="G721" t="s"/>
      <c r="H721" t="s"/>
      <c r="I721" t="s"/>
      <c r="J721" t="n">
        <v>0.4588</v>
      </c>
      <c r="K721" t="n">
        <v>0.068</v>
      </c>
      <c r="L721" t="n">
        <v>0.802</v>
      </c>
      <c r="M721" t="n">
        <v>0.13</v>
      </c>
    </row>
    <row r="722" spans="1:13">
      <c r="A722" s="1">
        <f>HYPERLINK("http://www.twitter.com/NathanBLawrence/status/975764986697003009", "975764986697003009")</f>
        <v/>
      </c>
      <c r="B722" s="2" t="n">
        <v>43178.66986111111</v>
      </c>
      <c r="C722" t="n">
        <v>0</v>
      </c>
      <c r="D722" t="n">
        <v>24248</v>
      </c>
      <c r="E722" t="s">
        <v>733</v>
      </c>
      <c r="F722" t="s"/>
      <c r="G722" t="s"/>
      <c r="H722" t="s"/>
      <c r="I722" t="s"/>
      <c r="J722" t="n">
        <v>-0.481</v>
      </c>
      <c r="K722" t="n">
        <v>0.38</v>
      </c>
      <c r="L722" t="n">
        <v>0.434</v>
      </c>
      <c r="M722" t="n">
        <v>0.186</v>
      </c>
    </row>
    <row r="723" spans="1:13">
      <c r="A723" s="1">
        <f>HYPERLINK("http://www.twitter.com/NathanBLawrence/status/975764335904600070", "975764335904600070")</f>
        <v/>
      </c>
      <c r="B723" s="2" t="n">
        <v>43178.66806712963</v>
      </c>
      <c r="C723" t="n">
        <v>0</v>
      </c>
      <c r="D723" t="n">
        <v>3</v>
      </c>
      <c r="E723" t="s">
        <v>734</v>
      </c>
      <c r="F723" t="s"/>
      <c r="G723" t="s"/>
      <c r="H723" t="s"/>
      <c r="I723" t="s"/>
      <c r="J723" t="n">
        <v>-0.5574</v>
      </c>
      <c r="K723" t="n">
        <v>0.286</v>
      </c>
      <c r="L723" t="n">
        <v>0.591</v>
      </c>
      <c r="M723" t="n">
        <v>0.123</v>
      </c>
    </row>
    <row r="724" spans="1:13">
      <c r="A724" s="1">
        <f>HYPERLINK("http://www.twitter.com/NathanBLawrence/status/975759302353936384", "975759302353936384")</f>
        <v/>
      </c>
      <c r="B724" s="2" t="n">
        <v>43178.65417824074</v>
      </c>
      <c r="C724" t="n">
        <v>0</v>
      </c>
      <c r="D724" t="n">
        <v>0</v>
      </c>
      <c r="E724" t="s">
        <v>735</v>
      </c>
      <c r="F724" t="s"/>
      <c r="G724" t="s"/>
      <c r="H724" t="s"/>
      <c r="I724" t="s"/>
      <c r="J724" t="n">
        <v>0</v>
      </c>
      <c r="K724" t="n">
        <v>0</v>
      </c>
      <c r="L724" t="n">
        <v>1</v>
      </c>
      <c r="M724" t="n">
        <v>0</v>
      </c>
    </row>
    <row r="725" spans="1:13">
      <c r="A725" s="1">
        <f>HYPERLINK("http://www.twitter.com/NathanBLawrence/status/975757700553433088", "975757700553433088")</f>
        <v/>
      </c>
      <c r="B725" s="2" t="n">
        <v>43178.64975694445</v>
      </c>
      <c r="C725" t="n">
        <v>2</v>
      </c>
      <c r="D725" t="n">
        <v>1</v>
      </c>
      <c r="E725" t="s">
        <v>736</v>
      </c>
      <c r="F725" t="s"/>
      <c r="G725" t="s"/>
      <c r="H725" t="s"/>
      <c r="I725" t="s"/>
      <c r="J725" t="n">
        <v>-0.1027</v>
      </c>
      <c r="K725" t="n">
        <v>0.074</v>
      </c>
      <c r="L725" t="n">
        <v>0.87</v>
      </c>
      <c r="M725" t="n">
        <v>0.057</v>
      </c>
    </row>
    <row r="726" spans="1:13">
      <c r="A726" s="1">
        <f>HYPERLINK("http://www.twitter.com/NathanBLawrence/status/975739601049587712", "975739601049587712")</f>
        <v/>
      </c>
      <c r="B726" s="2" t="n">
        <v>43178.59980324074</v>
      </c>
      <c r="C726" t="n">
        <v>0</v>
      </c>
      <c r="D726" t="n">
        <v>81</v>
      </c>
      <c r="E726" t="s">
        <v>737</v>
      </c>
      <c r="F726" t="s"/>
      <c r="G726" t="s"/>
      <c r="H726" t="s"/>
      <c r="I726" t="s"/>
      <c r="J726" t="n">
        <v>0.3612</v>
      </c>
      <c r="K726" t="n">
        <v>0</v>
      </c>
      <c r="L726" t="n">
        <v>0.884</v>
      </c>
      <c r="M726" t="n">
        <v>0.116</v>
      </c>
    </row>
    <row r="727" spans="1:13">
      <c r="A727" s="1">
        <f>HYPERLINK("http://www.twitter.com/NathanBLawrence/status/975739564529782784", "975739564529782784")</f>
        <v/>
      </c>
      <c r="B727" s="2" t="n">
        <v>43178.59971064814</v>
      </c>
      <c r="C727" t="n">
        <v>5</v>
      </c>
      <c r="D727" t="n">
        <v>2</v>
      </c>
      <c r="E727" t="s">
        <v>738</v>
      </c>
      <c r="F727" t="s"/>
      <c r="G727" t="s"/>
      <c r="H727" t="s"/>
      <c r="I727" t="s"/>
      <c r="J727" t="n">
        <v>0</v>
      </c>
      <c r="K727" t="n">
        <v>0</v>
      </c>
      <c r="L727" t="n">
        <v>1</v>
      </c>
      <c r="M727" t="n">
        <v>0</v>
      </c>
    </row>
    <row r="728" spans="1:13">
      <c r="A728" s="1">
        <f>HYPERLINK("http://www.twitter.com/NathanBLawrence/status/975739450062974977", "975739450062974977")</f>
        <v/>
      </c>
      <c r="B728" s="2" t="n">
        <v>43178.59938657407</v>
      </c>
      <c r="C728" t="n">
        <v>0</v>
      </c>
      <c r="D728" t="n">
        <v>18</v>
      </c>
      <c r="E728" t="s">
        <v>739</v>
      </c>
      <c r="F728" t="s"/>
      <c r="G728" t="s"/>
      <c r="H728" t="s"/>
      <c r="I728" t="s"/>
      <c r="J728" t="n">
        <v>0.128</v>
      </c>
      <c r="K728" t="n">
        <v>0.115</v>
      </c>
      <c r="L728" t="n">
        <v>0.717</v>
      </c>
      <c r="M728" t="n">
        <v>0.168</v>
      </c>
    </row>
    <row r="729" spans="1:13">
      <c r="A729" s="1">
        <f>HYPERLINK("http://www.twitter.com/NathanBLawrence/status/975739168168075265", "975739168168075265")</f>
        <v/>
      </c>
      <c r="B729" s="2" t="n">
        <v>43178.59861111111</v>
      </c>
      <c r="C729" t="n">
        <v>0</v>
      </c>
      <c r="D729" t="n">
        <v>3193</v>
      </c>
      <c r="E729" t="s">
        <v>740</v>
      </c>
      <c r="F729" t="s"/>
      <c r="G729" t="s"/>
      <c r="H729" t="s"/>
      <c r="I729" t="s"/>
      <c r="J729" t="n">
        <v>0.7003</v>
      </c>
      <c r="K729" t="n">
        <v>0</v>
      </c>
      <c r="L729" t="n">
        <v>0.756</v>
      </c>
      <c r="M729" t="n">
        <v>0.244</v>
      </c>
    </row>
    <row r="730" spans="1:13">
      <c r="A730" s="1">
        <f>HYPERLINK("http://www.twitter.com/NathanBLawrence/status/975565128933494785", "975565128933494785")</f>
        <v/>
      </c>
      <c r="B730" s="2" t="n">
        <v>43178.11835648148</v>
      </c>
      <c r="C730" t="n">
        <v>0</v>
      </c>
      <c r="D730" t="n">
        <v>10</v>
      </c>
      <c r="E730" t="s">
        <v>741</v>
      </c>
      <c r="F730" t="s"/>
      <c r="G730" t="s"/>
      <c r="H730" t="s"/>
      <c r="I730" t="s"/>
      <c r="J730" t="n">
        <v>0.7475000000000001</v>
      </c>
      <c r="K730" t="n">
        <v>0</v>
      </c>
      <c r="L730" t="n">
        <v>0.721</v>
      </c>
      <c r="M730" t="n">
        <v>0.279</v>
      </c>
    </row>
    <row r="731" spans="1:13">
      <c r="A731" s="1">
        <f>HYPERLINK("http://www.twitter.com/NathanBLawrence/status/975564240173125632", "975564240173125632")</f>
        <v/>
      </c>
      <c r="B731" s="2" t="n">
        <v>43178.11590277778</v>
      </c>
      <c r="C731" t="n">
        <v>0</v>
      </c>
      <c r="D731" t="n">
        <v>0</v>
      </c>
      <c r="E731" t="s">
        <v>742</v>
      </c>
      <c r="F731" t="s"/>
      <c r="G731" t="s"/>
      <c r="H731" t="s"/>
      <c r="I731" t="s"/>
      <c r="J731" t="n">
        <v>0</v>
      </c>
      <c r="K731" t="n">
        <v>0</v>
      </c>
      <c r="L731" t="n">
        <v>1</v>
      </c>
      <c r="M731" t="n">
        <v>0</v>
      </c>
    </row>
    <row r="732" spans="1:13">
      <c r="A732" s="1">
        <f>HYPERLINK("http://www.twitter.com/NathanBLawrence/status/975563422019485696", "975563422019485696")</f>
        <v/>
      </c>
      <c r="B732" s="2" t="n">
        <v>43178.11364583333</v>
      </c>
      <c r="C732" t="n">
        <v>0</v>
      </c>
      <c r="D732" t="n">
        <v>0</v>
      </c>
      <c r="E732" t="s">
        <v>743</v>
      </c>
      <c r="F732" t="s"/>
      <c r="G732" t="s"/>
      <c r="H732" t="s"/>
      <c r="I732" t="s"/>
      <c r="J732" t="n">
        <v>0</v>
      </c>
      <c r="K732" t="n">
        <v>0</v>
      </c>
      <c r="L732" t="n">
        <v>1</v>
      </c>
      <c r="M732" t="n">
        <v>0</v>
      </c>
    </row>
    <row r="733" spans="1:13">
      <c r="A733" s="1">
        <f>HYPERLINK("http://www.twitter.com/NathanBLawrence/status/975479845068132354", "975479845068132354")</f>
        <v/>
      </c>
      <c r="B733" s="2" t="n">
        <v>43177.88302083333</v>
      </c>
      <c r="C733" t="n">
        <v>0</v>
      </c>
      <c r="D733" t="n">
        <v>0</v>
      </c>
      <c r="E733" t="s">
        <v>744</v>
      </c>
      <c r="F733" t="s"/>
      <c r="G733" t="s"/>
      <c r="H733" t="s"/>
      <c r="I733" t="s"/>
      <c r="J733" t="n">
        <v>0</v>
      </c>
      <c r="K733" t="n">
        <v>0</v>
      </c>
      <c r="L733" t="n">
        <v>1</v>
      </c>
      <c r="M733" t="n">
        <v>0</v>
      </c>
    </row>
    <row r="734" spans="1:13">
      <c r="A734" s="1">
        <f>HYPERLINK("http://www.twitter.com/NathanBLawrence/status/975404851583700992", "975404851583700992")</f>
        <v/>
      </c>
      <c r="B734" s="2" t="n">
        <v>43177.67607638889</v>
      </c>
      <c r="C734" t="n">
        <v>0</v>
      </c>
      <c r="D734" t="n">
        <v>1</v>
      </c>
      <c r="E734" t="s">
        <v>745</v>
      </c>
      <c r="F734" t="s"/>
      <c r="G734" t="s"/>
      <c r="H734" t="s"/>
      <c r="I734" t="s"/>
      <c r="J734" t="n">
        <v>0.3724</v>
      </c>
      <c r="K734" t="n">
        <v>0</v>
      </c>
      <c r="L734" t="n">
        <v>0.701</v>
      </c>
      <c r="M734" t="n">
        <v>0.299</v>
      </c>
    </row>
    <row r="735" spans="1:13">
      <c r="A735" s="1">
        <f>HYPERLINK("http://www.twitter.com/NathanBLawrence/status/975377309527166976", "975377309527166976")</f>
        <v/>
      </c>
      <c r="B735" s="2" t="n">
        <v>43177.60006944444</v>
      </c>
      <c r="C735" t="n">
        <v>2</v>
      </c>
      <c r="D735" t="n">
        <v>2</v>
      </c>
      <c r="E735" t="s">
        <v>746</v>
      </c>
      <c r="F735" t="s"/>
      <c r="G735" t="s"/>
      <c r="H735" t="s"/>
      <c r="I735" t="s"/>
      <c r="J735" t="n">
        <v>0.4019</v>
      </c>
      <c r="K735" t="n">
        <v>0</v>
      </c>
      <c r="L735" t="n">
        <v>0.87</v>
      </c>
      <c r="M735" t="n">
        <v>0.13</v>
      </c>
    </row>
    <row r="736" spans="1:13">
      <c r="A736" s="1">
        <f>HYPERLINK("http://www.twitter.com/NathanBLawrence/status/975373756213399552", "975373756213399552")</f>
        <v/>
      </c>
      <c r="B736" s="2" t="n">
        <v>43177.5902662037</v>
      </c>
      <c r="C736" t="n">
        <v>1</v>
      </c>
      <c r="D736" t="n">
        <v>0</v>
      </c>
      <c r="E736" t="s">
        <v>747</v>
      </c>
      <c r="F736" t="s"/>
      <c r="G736" t="s"/>
      <c r="H736" t="s"/>
      <c r="I736" t="s"/>
      <c r="J736" t="n">
        <v>0.8652</v>
      </c>
      <c r="K736" t="n">
        <v>0.074</v>
      </c>
      <c r="L736" t="n">
        <v>0.594</v>
      </c>
      <c r="M736" t="n">
        <v>0.332</v>
      </c>
    </row>
    <row r="737" spans="1:13">
      <c r="A737" s="1">
        <f>HYPERLINK("http://www.twitter.com/NathanBLawrence/status/975087527982923776", "975087527982923776")</f>
        <v/>
      </c>
      <c r="B737" s="2" t="n">
        <v>43176.80042824074</v>
      </c>
      <c r="C737" t="n">
        <v>0</v>
      </c>
      <c r="D737" t="n">
        <v>0</v>
      </c>
      <c r="E737" t="s">
        <v>748</v>
      </c>
      <c r="F737" t="s"/>
      <c r="G737" t="s"/>
      <c r="H737" t="s"/>
      <c r="I737" t="s"/>
      <c r="J737" t="n">
        <v>0</v>
      </c>
      <c r="K737" t="n">
        <v>0</v>
      </c>
      <c r="L737" t="n">
        <v>1</v>
      </c>
      <c r="M737" t="n">
        <v>0</v>
      </c>
    </row>
    <row r="738" spans="1:13">
      <c r="A738" s="1">
        <f>HYPERLINK("http://www.twitter.com/NathanBLawrence/status/975087163208601601", "975087163208601601")</f>
        <v/>
      </c>
      <c r="B738" s="2" t="n">
        <v>43176.79942129629</v>
      </c>
      <c r="C738" t="n">
        <v>0</v>
      </c>
      <c r="D738" t="n">
        <v>0</v>
      </c>
      <c r="E738" t="s">
        <v>749</v>
      </c>
      <c r="F738" t="s"/>
      <c r="G738" t="s"/>
      <c r="H738" t="s"/>
      <c r="I738" t="s"/>
      <c r="J738" t="n">
        <v>0</v>
      </c>
      <c r="K738" t="n">
        <v>0</v>
      </c>
      <c r="L738" t="n">
        <v>1</v>
      </c>
      <c r="M738" t="n">
        <v>0</v>
      </c>
    </row>
    <row r="739" spans="1:13">
      <c r="A739" s="1">
        <f>HYPERLINK("http://www.twitter.com/NathanBLawrence/status/975086246782492672", "975086246782492672")</f>
        <v/>
      </c>
      <c r="B739" s="2" t="n">
        <v>43176.79689814815</v>
      </c>
      <c r="C739" t="n">
        <v>0</v>
      </c>
      <c r="D739" t="n">
        <v>0</v>
      </c>
      <c r="E739" t="s">
        <v>750</v>
      </c>
      <c r="F739" t="s"/>
      <c r="G739" t="s"/>
      <c r="H739" t="s"/>
      <c r="I739" t="s"/>
      <c r="J739" t="n">
        <v>0</v>
      </c>
      <c r="K739" t="n">
        <v>0</v>
      </c>
      <c r="L739" t="n">
        <v>1</v>
      </c>
      <c r="M739" t="n">
        <v>0</v>
      </c>
    </row>
    <row r="740" spans="1:13">
      <c r="A740" s="1">
        <f>HYPERLINK("http://www.twitter.com/NathanBLawrence/status/975086010970329088", "975086010970329088")</f>
        <v/>
      </c>
      <c r="B740" s="2" t="n">
        <v>43176.79623842592</v>
      </c>
      <c r="C740" t="n">
        <v>0</v>
      </c>
      <c r="D740" t="n">
        <v>2339</v>
      </c>
      <c r="E740" t="s">
        <v>751</v>
      </c>
      <c r="F740" t="s"/>
      <c r="G740" t="s"/>
      <c r="H740" t="s"/>
      <c r="I740" t="s"/>
      <c r="J740" t="n">
        <v>-0.8270999999999999</v>
      </c>
      <c r="K740" t="n">
        <v>0.339</v>
      </c>
      <c r="L740" t="n">
        <v>0.661</v>
      </c>
      <c r="M740" t="n">
        <v>0</v>
      </c>
    </row>
    <row r="741" spans="1:13">
      <c r="A741" s="1">
        <f>HYPERLINK("http://www.twitter.com/NathanBLawrence/status/975085360488304645", "975085360488304645")</f>
        <v/>
      </c>
      <c r="B741" s="2" t="n">
        <v>43176.79444444444</v>
      </c>
      <c r="C741" t="n">
        <v>0</v>
      </c>
      <c r="D741" t="n">
        <v>0</v>
      </c>
      <c r="E741" t="s">
        <v>752</v>
      </c>
      <c r="F741" t="s"/>
      <c r="G741" t="s"/>
      <c r="H741" t="s"/>
      <c r="I741" t="s"/>
      <c r="J741" t="n">
        <v>0</v>
      </c>
      <c r="K741" t="n">
        <v>0</v>
      </c>
      <c r="L741" t="n">
        <v>1</v>
      </c>
      <c r="M741" t="n">
        <v>0</v>
      </c>
    </row>
    <row r="742" spans="1:13">
      <c r="A742" s="1">
        <f>HYPERLINK("http://www.twitter.com/NathanBLawrence/status/974989166906929152", "974989166906929152")</f>
        <v/>
      </c>
      <c r="B742" s="2" t="n">
        <v>43176.52900462963</v>
      </c>
      <c r="C742" t="n">
        <v>5</v>
      </c>
      <c r="D742" t="n">
        <v>3</v>
      </c>
      <c r="E742" t="s">
        <v>753</v>
      </c>
      <c r="F742" t="s"/>
      <c r="G742" t="s"/>
      <c r="H742" t="s"/>
      <c r="I742" t="s"/>
      <c r="J742" t="n">
        <v>-0.2905</v>
      </c>
      <c r="K742" t="n">
        <v>0.214</v>
      </c>
      <c r="L742" t="n">
        <v>0.786</v>
      </c>
      <c r="M742" t="n">
        <v>0</v>
      </c>
    </row>
    <row r="743" spans="1:13">
      <c r="A743" s="1">
        <f>HYPERLINK("http://www.twitter.com/NathanBLawrence/status/974883536334458880", "974883536334458880")</f>
        <v/>
      </c>
      <c r="B743" s="2" t="n">
        <v>43176.23752314815</v>
      </c>
      <c r="C743" t="n">
        <v>0</v>
      </c>
      <c r="D743" t="n">
        <v>47008</v>
      </c>
      <c r="E743" t="s">
        <v>754</v>
      </c>
      <c r="F743" t="s"/>
      <c r="G743" t="s"/>
      <c r="H743" t="s"/>
      <c r="I743" t="s"/>
      <c r="J743" t="n">
        <v>0.5372</v>
      </c>
      <c r="K743" t="n">
        <v>0.18</v>
      </c>
      <c r="L743" t="n">
        <v>0.5639999999999999</v>
      </c>
      <c r="M743" t="n">
        <v>0.257</v>
      </c>
    </row>
    <row r="744" spans="1:13">
      <c r="A744" s="1">
        <f>HYPERLINK("http://www.twitter.com/NathanBLawrence/status/974868497565192192", "974868497565192192")</f>
        <v/>
      </c>
      <c r="B744" s="2" t="n">
        <v>43176.19601851852</v>
      </c>
      <c r="C744" t="n">
        <v>0</v>
      </c>
      <c r="D744" t="n">
        <v>0</v>
      </c>
      <c r="E744" t="s">
        <v>755</v>
      </c>
      <c r="F744" t="s"/>
      <c r="G744" t="s"/>
      <c r="H744" t="s"/>
      <c r="I744" t="s"/>
      <c r="J744" t="n">
        <v>-0.4404</v>
      </c>
      <c r="K744" t="n">
        <v>0.592</v>
      </c>
      <c r="L744" t="n">
        <v>0.408</v>
      </c>
      <c r="M744" t="n">
        <v>0</v>
      </c>
    </row>
    <row r="745" spans="1:13">
      <c r="A745" s="1">
        <f>HYPERLINK("http://www.twitter.com/NathanBLawrence/status/974862387554775043", "974862387554775043")</f>
        <v/>
      </c>
      <c r="B745" s="2" t="n">
        <v>43176.17915509259</v>
      </c>
      <c r="C745" t="n">
        <v>0</v>
      </c>
      <c r="D745" t="n">
        <v>0</v>
      </c>
      <c r="E745" t="s">
        <v>756</v>
      </c>
      <c r="F745" t="s"/>
      <c r="G745" t="s"/>
      <c r="H745" t="s"/>
      <c r="I745" t="s"/>
      <c r="J745" t="n">
        <v>0</v>
      </c>
      <c r="K745" t="n">
        <v>0</v>
      </c>
      <c r="L745" t="n">
        <v>1</v>
      </c>
      <c r="M745" t="n">
        <v>0</v>
      </c>
    </row>
    <row r="746" spans="1:13">
      <c r="A746" s="1">
        <f>HYPERLINK("http://www.twitter.com/NathanBLawrence/status/974861982934298624", "974861982934298624")</f>
        <v/>
      </c>
      <c r="B746" s="2" t="n">
        <v>43176.17804398148</v>
      </c>
      <c r="C746" t="n">
        <v>0</v>
      </c>
      <c r="D746" t="n">
        <v>5856</v>
      </c>
      <c r="E746" t="s">
        <v>757</v>
      </c>
      <c r="F746" t="s"/>
      <c r="G746" t="s"/>
      <c r="H746" t="s"/>
      <c r="I746" t="s"/>
      <c r="J746" t="n">
        <v>0</v>
      </c>
      <c r="K746" t="n">
        <v>0</v>
      </c>
      <c r="L746" t="n">
        <v>1</v>
      </c>
      <c r="M746" t="n">
        <v>0</v>
      </c>
    </row>
    <row r="747" spans="1:13">
      <c r="A747" s="1">
        <f>HYPERLINK("http://www.twitter.com/NathanBLawrence/status/974844891619618816", "974844891619618816")</f>
        <v/>
      </c>
      <c r="B747" s="2" t="n">
        <v>43176.13087962963</v>
      </c>
      <c r="C747" t="n">
        <v>1</v>
      </c>
      <c r="D747" t="n">
        <v>0</v>
      </c>
      <c r="E747" t="s">
        <v>758</v>
      </c>
      <c r="F747" t="s"/>
      <c r="G747" t="s"/>
      <c r="H747" t="s"/>
      <c r="I747" t="s"/>
      <c r="J747" t="n">
        <v>-0.6369</v>
      </c>
      <c r="K747" t="n">
        <v>0.219</v>
      </c>
      <c r="L747" t="n">
        <v>0.781</v>
      </c>
      <c r="M747" t="n">
        <v>0</v>
      </c>
    </row>
    <row r="748" spans="1:13">
      <c r="A748" s="1">
        <f>HYPERLINK("http://www.twitter.com/NathanBLawrence/status/974843637912743936", "974843637912743936")</f>
        <v/>
      </c>
      <c r="B748" s="2" t="n">
        <v>43176.12741898148</v>
      </c>
      <c r="C748" t="n">
        <v>0</v>
      </c>
      <c r="D748" t="n">
        <v>1</v>
      </c>
      <c r="E748" t="s">
        <v>759</v>
      </c>
      <c r="F748" t="s"/>
      <c r="G748" t="s"/>
      <c r="H748" t="s"/>
      <c r="I748" t="s"/>
      <c r="J748" t="n">
        <v>0</v>
      </c>
      <c r="K748" t="n">
        <v>0</v>
      </c>
      <c r="L748" t="n">
        <v>1</v>
      </c>
      <c r="M748" t="n">
        <v>0</v>
      </c>
    </row>
    <row r="749" spans="1:13">
      <c r="A749" s="1">
        <f>HYPERLINK("http://www.twitter.com/NathanBLawrence/status/974843500670980097", "974843500670980097")</f>
        <v/>
      </c>
      <c r="B749" s="2" t="n">
        <v>43176.12703703704</v>
      </c>
      <c r="C749" t="n">
        <v>0</v>
      </c>
      <c r="D749" t="n">
        <v>0</v>
      </c>
      <c r="E749" t="s">
        <v>760</v>
      </c>
      <c r="F749" t="s"/>
      <c r="G749" t="s"/>
      <c r="H749" t="s"/>
      <c r="I749" t="s"/>
      <c r="J749" t="n">
        <v>0.6808</v>
      </c>
      <c r="K749" t="n">
        <v>0.091</v>
      </c>
      <c r="L749" t="n">
        <v>0.519</v>
      </c>
      <c r="M749" t="n">
        <v>0.39</v>
      </c>
    </row>
    <row r="750" spans="1:13">
      <c r="A750" s="1">
        <f>HYPERLINK("http://www.twitter.com/NathanBLawrence/status/974843215680561153", "974843215680561153")</f>
        <v/>
      </c>
      <c r="B750" s="2" t="n">
        <v>43176.12625</v>
      </c>
      <c r="C750" t="n">
        <v>0</v>
      </c>
      <c r="D750" t="n">
        <v>0</v>
      </c>
      <c r="E750" t="s">
        <v>761</v>
      </c>
      <c r="F750" t="s"/>
      <c r="G750" t="s"/>
      <c r="H750" t="s"/>
      <c r="I750" t="s"/>
      <c r="J750" t="n">
        <v>0</v>
      </c>
      <c r="K750" t="n">
        <v>0</v>
      </c>
      <c r="L750" t="n">
        <v>1</v>
      </c>
      <c r="M750" t="n">
        <v>0</v>
      </c>
    </row>
    <row r="751" spans="1:13">
      <c r="A751" s="1">
        <f>HYPERLINK("http://www.twitter.com/NathanBLawrence/status/974842582390984704", "974842582390984704")</f>
        <v/>
      </c>
      <c r="B751" s="2" t="n">
        <v>43176.12450231481</v>
      </c>
      <c r="C751" t="n">
        <v>0</v>
      </c>
      <c r="D751" t="n">
        <v>0</v>
      </c>
      <c r="E751" t="s">
        <v>762</v>
      </c>
      <c r="F751" t="s"/>
      <c r="G751" t="s"/>
      <c r="H751" t="s"/>
      <c r="I751" t="s"/>
      <c r="J751" t="n">
        <v>0</v>
      </c>
      <c r="K751" t="n">
        <v>0</v>
      </c>
      <c r="L751" t="n">
        <v>1</v>
      </c>
      <c r="M751" t="n">
        <v>0</v>
      </c>
    </row>
    <row r="752" spans="1:13">
      <c r="A752" s="1">
        <f>HYPERLINK("http://www.twitter.com/NathanBLawrence/status/974842077237346304", "974842077237346304")</f>
        <v/>
      </c>
      <c r="B752" s="2" t="n">
        <v>43176.12311342593</v>
      </c>
      <c r="C752" t="n">
        <v>0</v>
      </c>
      <c r="D752" t="n">
        <v>0</v>
      </c>
      <c r="E752" t="s">
        <v>763</v>
      </c>
      <c r="F752" t="s"/>
      <c r="G752" t="s"/>
      <c r="H752" t="s"/>
      <c r="I752" t="s"/>
      <c r="J752" t="n">
        <v>0</v>
      </c>
      <c r="K752" t="n">
        <v>0</v>
      </c>
      <c r="L752" t="n">
        <v>1</v>
      </c>
      <c r="M752" t="n">
        <v>0</v>
      </c>
    </row>
    <row r="753" spans="1:13">
      <c r="A753" s="1">
        <f>HYPERLINK("http://www.twitter.com/NathanBLawrence/status/974840156896333824", "974840156896333824")</f>
        <v/>
      </c>
      <c r="B753" s="2" t="n">
        <v>43176.1178125</v>
      </c>
      <c r="C753" t="n">
        <v>0</v>
      </c>
      <c r="D753" t="n">
        <v>0</v>
      </c>
      <c r="E753" t="s">
        <v>764</v>
      </c>
      <c r="F753" t="s"/>
      <c r="G753" t="s"/>
      <c r="H753" t="s"/>
      <c r="I753" t="s"/>
      <c r="J753" t="n">
        <v>0</v>
      </c>
      <c r="K753" t="n">
        <v>0</v>
      </c>
      <c r="L753" t="n">
        <v>1</v>
      </c>
      <c r="M753" t="n">
        <v>0</v>
      </c>
    </row>
    <row r="754" spans="1:13">
      <c r="A754" s="1">
        <f>HYPERLINK("http://www.twitter.com/NathanBLawrence/status/974840053695434753", "974840053695434753")</f>
        <v/>
      </c>
      <c r="B754" s="2" t="n">
        <v>43176.11753472222</v>
      </c>
      <c r="C754" t="n">
        <v>1</v>
      </c>
      <c r="D754" t="n">
        <v>0</v>
      </c>
      <c r="E754" t="s">
        <v>765</v>
      </c>
      <c r="F754" t="s"/>
      <c r="G754" t="s"/>
      <c r="H754" t="s"/>
      <c r="I754" t="s"/>
      <c r="J754" t="n">
        <v>0</v>
      </c>
      <c r="K754" t="n">
        <v>0</v>
      </c>
      <c r="L754" t="n">
        <v>1</v>
      </c>
      <c r="M754" t="n">
        <v>0</v>
      </c>
    </row>
    <row r="755" spans="1:13">
      <c r="A755" s="1">
        <f>HYPERLINK("http://www.twitter.com/NathanBLawrence/status/974838278477242368", "974838278477242368")</f>
        <v/>
      </c>
      <c r="B755" s="2" t="n">
        <v>43176.11262731482</v>
      </c>
      <c r="C755" t="n">
        <v>0</v>
      </c>
      <c r="D755" t="n">
        <v>0</v>
      </c>
      <c r="E755" t="s">
        <v>766</v>
      </c>
      <c r="F755" t="s"/>
      <c r="G755" t="s"/>
      <c r="H755" t="s"/>
      <c r="I755" t="s"/>
      <c r="J755" t="n">
        <v>0</v>
      </c>
      <c r="K755" t="n">
        <v>0</v>
      </c>
      <c r="L755" t="n">
        <v>1</v>
      </c>
      <c r="M755" t="n">
        <v>0</v>
      </c>
    </row>
    <row r="756" spans="1:13">
      <c r="A756" s="1">
        <f>HYPERLINK("http://www.twitter.com/NathanBLawrence/status/974837959273926661", "974837959273926661")</f>
        <v/>
      </c>
      <c r="B756" s="2" t="n">
        <v>43176.11174768519</v>
      </c>
      <c r="C756" t="n">
        <v>0</v>
      </c>
      <c r="D756" t="n">
        <v>29</v>
      </c>
      <c r="E756" t="s">
        <v>767</v>
      </c>
      <c r="F756" t="s"/>
      <c r="G756" t="s"/>
      <c r="H756" t="s"/>
      <c r="I756" t="s"/>
      <c r="J756" t="n">
        <v>0.7003</v>
      </c>
      <c r="K756" t="n">
        <v>0.08699999999999999</v>
      </c>
      <c r="L756" t="n">
        <v>0.652</v>
      </c>
      <c r="M756" t="n">
        <v>0.261</v>
      </c>
    </row>
    <row r="757" spans="1:13">
      <c r="A757" s="1">
        <f>HYPERLINK("http://www.twitter.com/NathanBLawrence/status/974837794551025664", "974837794551025664")</f>
        <v/>
      </c>
      <c r="B757" s="2" t="n">
        <v>43176.11129629629</v>
      </c>
      <c r="C757" t="n">
        <v>3</v>
      </c>
      <c r="D757" t="n">
        <v>0</v>
      </c>
      <c r="E757" t="s">
        <v>768</v>
      </c>
      <c r="F757" t="s"/>
      <c r="G757" t="s"/>
      <c r="H757" t="s"/>
      <c r="I757" t="s"/>
      <c r="J757" t="n">
        <v>0</v>
      </c>
      <c r="K757" t="n">
        <v>0</v>
      </c>
      <c r="L757" t="n">
        <v>1</v>
      </c>
      <c r="M757" t="n">
        <v>0</v>
      </c>
    </row>
    <row r="758" spans="1:13">
      <c r="A758" s="1">
        <f>HYPERLINK("http://www.twitter.com/NathanBLawrence/status/974836943719673862", "974836943719673862")</f>
        <v/>
      </c>
      <c r="B758" s="2" t="n">
        <v>43176.10894675926</v>
      </c>
      <c r="C758" t="n">
        <v>0</v>
      </c>
      <c r="D758" t="n">
        <v>32</v>
      </c>
      <c r="E758" t="s">
        <v>769</v>
      </c>
      <c r="F758">
        <f>HYPERLINK("http://pbs.twimg.com/media/DW0HR2GW4AAiJHa.jpg", "http://pbs.twimg.com/media/DW0HR2GW4AAiJHa.jpg")</f>
        <v/>
      </c>
      <c r="G758" t="s"/>
      <c r="H758" t="s"/>
      <c r="I758" t="s"/>
      <c r="J758" t="n">
        <v>0</v>
      </c>
      <c r="K758" t="n">
        <v>0</v>
      </c>
      <c r="L758" t="n">
        <v>1</v>
      </c>
      <c r="M758" t="n">
        <v>0</v>
      </c>
    </row>
    <row r="759" spans="1:13">
      <c r="A759" s="1">
        <f>HYPERLINK("http://www.twitter.com/NathanBLawrence/status/974833730400464896", "974833730400464896")</f>
        <v/>
      </c>
      <c r="B759" s="2" t="n">
        <v>43176.10008101852</v>
      </c>
      <c r="C759" t="n">
        <v>0</v>
      </c>
      <c r="D759" t="n">
        <v>0</v>
      </c>
      <c r="E759" t="s">
        <v>770</v>
      </c>
      <c r="F759" t="s"/>
      <c r="G759" t="s"/>
      <c r="H759" t="s"/>
      <c r="I759" t="s"/>
      <c r="J759" t="n">
        <v>0</v>
      </c>
      <c r="K759" t="n">
        <v>0</v>
      </c>
      <c r="L759" t="n">
        <v>1</v>
      </c>
      <c r="M759" t="n">
        <v>0</v>
      </c>
    </row>
    <row r="760" spans="1:13">
      <c r="A760" s="1">
        <f>HYPERLINK("http://www.twitter.com/NathanBLawrence/status/974833195739963393", "974833195739963393")</f>
        <v/>
      </c>
      <c r="B760" s="2" t="n">
        <v>43176.09861111111</v>
      </c>
      <c r="C760" t="n">
        <v>0</v>
      </c>
      <c r="D760" t="n">
        <v>0</v>
      </c>
      <c r="E760" t="s">
        <v>771</v>
      </c>
      <c r="F760" t="s"/>
      <c r="G760" t="s"/>
      <c r="H760" t="s"/>
      <c r="I760" t="s"/>
      <c r="J760" t="n">
        <v>0</v>
      </c>
      <c r="K760" t="n">
        <v>0</v>
      </c>
      <c r="L760" t="n">
        <v>1</v>
      </c>
      <c r="M760" t="n">
        <v>0</v>
      </c>
    </row>
    <row r="761" spans="1:13">
      <c r="A761" s="1">
        <f>HYPERLINK("http://www.twitter.com/NathanBLawrence/status/974832847008788481", "974832847008788481")</f>
        <v/>
      </c>
      <c r="B761" s="2" t="n">
        <v>43176.09763888889</v>
      </c>
      <c r="C761" t="n">
        <v>3</v>
      </c>
      <c r="D761" t="n">
        <v>0</v>
      </c>
      <c r="E761" t="s">
        <v>772</v>
      </c>
      <c r="F761" t="s"/>
      <c r="G761" t="s"/>
      <c r="H761" t="s"/>
      <c r="I761" t="s"/>
      <c r="J761" t="n">
        <v>0.5826</v>
      </c>
      <c r="K761" t="n">
        <v>0</v>
      </c>
      <c r="L761" t="n">
        <v>0.726</v>
      </c>
      <c r="M761" t="n">
        <v>0.274</v>
      </c>
    </row>
    <row r="762" spans="1:13">
      <c r="A762" s="1">
        <f>HYPERLINK("http://www.twitter.com/NathanBLawrence/status/974831291517546497", "974831291517546497")</f>
        <v/>
      </c>
      <c r="B762" s="2" t="n">
        <v>43176.09335648148</v>
      </c>
      <c r="C762" t="n">
        <v>0</v>
      </c>
      <c r="D762" t="n">
        <v>2</v>
      </c>
      <c r="E762" t="s">
        <v>773</v>
      </c>
      <c r="F762" t="s"/>
      <c r="G762" t="s"/>
      <c r="H762" t="s"/>
      <c r="I762" t="s"/>
      <c r="J762" t="n">
        <v>-0.743</v>
      </c>
      <c r="K762" t="n">
        <v>0.326</v>
      </c>
      <c r="L762" t="n">
        <v>0.674</v>
      </c>
      <c r="M762" t="n">
        <v>0</v>
      </c>
    </row>
    <row r="763" spans="1:13">
      <c r="A763" s="1">
        <f>HYPERLINK("http://www.twitter.com/NathanBLawrence/status/974829836811325440", "974829836811325440")</f>
        <v/>
      </c>
      <c r="B763" s="2" t="n">
        <v>43176.08934027778</v>
      </c>
      <c r="C763" t="n">
        <v>0</v>
      </c>
      <c r="D763" t="n">
        <v>0</v>
      </c>
      <c r="E763" t="s">
        <v>774</v>
      </c>
      <c r="F763" t="s"/>
      <c r="G763" t="s"/>
      <c r="H763" t="s"/>
      <c r="I763" t="s"/>
      <c r="J763" t="n">
        <v>0.8833</v>
      </c>
      <c r="K763" t="n">
        <v>0</v>
      </c>
      <c r="L763" t="n">
        <v>0.163</v>
      </c>
      <c r="M763" t="n">
        <v>0.837</v>
      </c>
    </row>
    <row r="764" spans="1:13">
      <c r="A764" s="1">
        <f>HYPERLINK("http://www.twitter.com/NathanBLawrence/status/974719759148253185", "974719759148253185")</f>
        <v/>
      </c>
      <c r="B764" s="2" t="n">
        <v>43175.7855787037</v>
      </c>
      <c r="C764" t="n">
        <v>0</v>
      </c>
      <c r="D764" t="n">
        <v>0</v>
      </c>
      <c r="E764" t="s">
        <v>775</v>
      </c>
      <c r="F764" t="s"/>
      <c r="G764" t="s"/>
      <c r="H764" t="s"/>
      <c r="I764" t="s"/>
      <c r="J764" t="n">
        <v>0</v>
      </c>
      <c r="K764" t="n">
        <v>0</v>
      </c>
      <c r="L764" t="n">
        <v>1</v>
      </c>
      <c r="M764" t="n">
        <v>0</v>
      </c>
    </row>
    <row r="765" spans="1:13">
      <c r="A765" s="1">
        <f>HYPERLINK("http://www.twitter.com/NathanBLawrence/status/974717731802173442", "974717731802173442")</f>
        <v/>
      </c>
      <c r="B765" s="2" t="n">
        <v>43175.77998842593</v>
      </c>
      <c r="C765" t="n">
        <v>0</v>
      </c>
      <c r="D765" t="n">
        <v>1271</v>
      </c>
      <c r="E765" t="s">
        <v>776</v>
      </c>
      <c r="F765" t="s"/>
      <c r="G765" t="s"/>
      <c r="H765" t="s"/>
      <c r="I765" t="s"/>
      <c r="J765" t="n">
        <v>0.4939</v>
      </c>
      <c r="K765" t="n">
        <v>0</v>
      </c>
      <c r="L765" t="n">
        <v>0.842</v>
      </c>
      <c r="M765" t="n">
        <v>0.158</v>
      </c>
    </row>
    <row r="766" spans="1:13">
      <c r="A766" s="1">
        <f>HYPERLINK("http://www.twitter.com/NathanBLawrence/status/974715137289531393", "974715137289531393")</f>
        <v/>
      </c>
      <c r="B766" s="2" t="n">
        <v>43175.77282407408</v>
      </c>
      <c r="C766" t="n">
        <v>0</v>
      </c>
      <c r="D766" t="n">
        <v>0</v>
      </c>
      <c r="E766" t="s">
        <v>777</v>
      </c>
      <c r="F766" t="s"/>
      <c r="G766" t="s"/>
      <c r="H766" t="s"/>
      <c r="I766" t="s"/>
      <c r="J766" t="n">
        <v>0.4576</v>
      </c>
      <c r="K766" t="n">
        <v>0.09</v>
      </c>
      <c r="L766" t="n">
        <v>0.672</v>
      </c>
      <c r="M766" t="n">
        <v>0.238</v>
      </c>
    </row>
    <row r="767" spans="1:13">
      <c r="A767" s="1">
        <f>HYPERLINK("http://www.twitter.com/NathanBLawrence/status/974713967267516417", "974713967267516417")</f>
        <v/>
      </c>
      <c r="B767" s="2" t="n">
        <v>43175.7695949074</v>
      </c>
      <c r="C767" t="n">
        <v>0</v>
      </c>
      <c r="D767" t="n">
        <v>6</v>
      </c>
      <c r="E767" t="s">
        <v>778</v>
      </c>
      <c r="F767" t="s"/>
      <c r="G767" t="s"/>
      <c r="H767" t="s"/>
      <c r="I767" t="s"/>
      <c r="J767" t="n">
        <v>0</v>
      </c>
      <c r="K767" t="n">
        <v>0</v>
      </c>
      <c r="L767" t="n">
        <v>1</v>
      </c>
      <c r="M767" t="n">
        <v>0</v>
      </c>
    </row>
    <row r="768" spans="1:13">
      <c r="A768" s="1">
        <f>HYPERLINK("http://www.twitter.com/NathanBLawrence/status/974710085560741888", "974710085560741888")</f>
        <v/>
      </c>
      <c r="B768" s="2" t="n">
        <v>43175.75888888889</v>
      </c>
      <c r="C768" t="n">
        <v>1</v>
      </c>
      <c r="D768" t="n">
        <v>0</v>
      </c>
      <c r="E768" t="s">
        <v>779</v>
      </c>
      <c r="F768" t="s"/>
      <c r="G768" t="s"/>
      <c r="H768" t="s"/>
      <c r="I768" t="s"/>
      <c r="J768" t="n">
        <v>0.5994</v>
      </c>
      <c r="K768" t="n">
        <v>0.091</v>
      </c>
      <c r="L768" t="n">
        <v>0.658</v>
      </c>
      <c r="M768" t="n">
        <v>0.251</v>
      </c>
    </row>
    <row r="769" spans="1:13">
      <c r="A769" s="1">
        <f>HYPERLINK("http://www.twitter.com/NathanBLawrence/status/974704655216398336", "974704655216398336")</f>
        <v/>
      </c>
      <c r="B769" s="2" t="n">
        <v>43175.74390046296</v>
      </c>
      <c r="C769" t="n">
        <v>0</v>
      </c>
      <c r="D769" t="n">
        <v>4996</v>
      </c>
      <c r="E769" t="s">
        <v>780</v>
      </c>
      <c r="F769" t="s"/>
      <c r="G769" t="s"/>
      <c r="H769" t="s"/>
      <c r="I769" t="s"/>
      <c r="J769" t="n">
        <v>-0.3182</v>
      </c>
      <c r="K769" t="n">
        <v>0.133</v>
      </c>
      <c r="L769" t="n">
        <v>0.867</v>
      </c>
      <c r="M769" t="n">
        <v>0</v>
      </c>
    </row>
    <row r="770" spans="1:13">
      <c r="A770" s="1">
        <f>HYPERLINK("http://www.twitter.com/NathanBLawrence/status/974691330881409025", "974691330881409025")</f>
        <v/>
      </c>
      <c r="B770" s="2" t="n">
        <v>43175.70712962963</v>
      </c>
      <c r="C770" t="n">
        <v>0</v>
      </c>
      <c r="D770" t="n">
        <v>9</v>
      </c>
      <c r="E770" t="s">
        <v>781</v>
      </c>
      <c r="F770" t="s"/>
      <c r="G770" t="s"/>
      <c r="H770" t="s"/>
      <c r="I770" t="s"/>
      <c r="J770" t="n">
        <v>0.5622</v>
      </c>
      <c r="K770" t="n">
        <v>0</v>
      </c>
      <c r="L770" t="n">
        <v>0.832</v>
      </c>
      <c r="M770" t="n">
        <v>0.168</v>
      </c>
    </row>
    <row r="771" spans="1:13">
      <c r="A771" s="1">
        <f>HYPERLINK("http://www.twitter.com/NathanBLawrence/status/974690520411918338", "974690520411918338")</f>
        <v/>
      </c>
      <c r="B771" s="2" t="n">
        <v>43175.70489583333</v>
      </c>
      <c r="C771" t="n">
        <v>0</v>
      </c>
      <c r="D771" t="n">
        <v>9163</v>
      </c>
      <c r="E771" t="s">
        <v>782</v>
      </c>
      <c r="F771" t="s"/>
      <c r="G771" t="s"/>
      <c r="H771" t="s"/>
      <c r="I771" t="s"/>
      <c r="J771" t="n">
        <v>0</v>
      </c>
      <c r="K771" t="n">
        <v>0</v>
      </c>
      <c r="L771" t="n">
        <v>1</v>
      </c>
      <c r="M771" t="n">
        <v>0</v>
      </c>
    </row>
    <row r="772" spans="1:13">
      <c r="A772" s="1">
        <f>HYPERLINK("http://www.twitter.com/NathanBLawrence/status/974645426707206145", "974645426707206145")</f>
        <v/>
      </c>
      <c r="B772" s="2" t="n">
        <v>43175.58046296296</v>
      </c>
      <c r="C772" t="n">
        <v>0</v>
      </c>
      <c r="D772" t="n">
        <v>0</v>
      </c>
      <c r="E772" t="s">
        <v>783</v>
      </c>
      <c r="F772" t="s"/>
      <c r="G772" t="s"/>
      <c r="H772" t="s"/>
      <c r="I772" t="s"/>
      <c r="J772" t="n">
        <v>0.9198</v>
      </c>
      <c r="K772" t="n">
        <v>0</v>
      </c>
      <c r="L772" t="n">
        <v>0.477</v>
      </c>
      <c r="M772" t="n">
        <v>0.523</v>
      </c>
    </row>
    <row r="773" spans="1:13">
      <c r="A773" s="1">
        <f>HYPERLINK("http://www.twitter.com/NathanBLawrence/status/974474628407136256", "974474628407136256")</f>
        <v/>
      </c>
      <c r="B773" s="2" t="n">
        <v>43175.10914351852</v>
      </c>
      <c r="C773" t="n">
        <v>2</v>
      </c>
      <c r="D773" t="n">
        <v>0</v>
      </c>
      <c r="E773" t="s">
        <v>784</v>
      </c>
      <c r="F773" t="s"/>
      <c r="G773" t="s"/>
      <c r="H773" t="s"/>
      <c r="I773" t="s"/>
      <c r="J773" t="n">
        <v>0.5423</v>
      </c>
      <c r="K773" t="n">
        <v>0</v>
      </c>
      <c r="L773" t="n">
        <v>0.821</v>
      </c>
      <c r="M773" t="n">
        <v>0.179</v>
      </c>
    </row>
    <row r="774" spans="1:13">
      <c r="A774" s="1">
        <f>HYPERLINK("http://www.twitter.com/NathanBLawrence/status/974428145167355906", "974428145167355906")</f>
        <v/>
      </c>
      <c r="B774" s="2" t="n">
        <v>43174.98087962963</v>
      </c>
      <c r="C774" t="n">
        <v>10</v>
      </c>
      <c r="D774" t="n">
        <v>3</v>
      </c>
      <c r="E774" t="s">
        <v>785</v>
      </c>
      <c r="F774" t="s"/>
      <c r="G774" t="s"/>
      <c r="H774" t="s"/>
      <c r="I774" t="s"/>
      <c r="J774" t="n">
        <v>-0.3182</v>
      </c>
      <c r="K774" t="n">
        <v>0.141</v>
      </c>
      <c r="L774" t="n">
        <v>0.859</v>
      </c>
      <c r="M774" t="n">
        <v>0</v>
      </c>
    </row>
    <row r="775" spans="1:13">
      <c r="A775" s="1">
        <f>HYPERLINK("http://www.twitter.com/NathanBLawrence/status/974365873115983873", "974365873115983873")</f>
        <v/>
      </c>
      <c r="B775" s="2" t="n">
        <v>43174.80903935185</v>
      </c>
      <c r="C775" t="n">
        <v>0</v>
      </c>
      <c r="D775" t="n">
        <v>0</v>
      </c>
      <c r="E775" t="s">
        <v>786</v>
      </c>
      <c r="F775" t="s"/>
      <c r="G775" t="s"/>
      <c r="H775" t="s"/>
      <c r="I775" t="s"/>
      <c r="J775" t="n">
        <v>0</v>
      </c>
      <c r="K775" t="n">
        <v>0</v>
      </c>
      <c r="L775" t="n">
        <v>1</v>
      </c>
      <c r="M775" t="n">
        <v>0</v>
      </c>
    </row>
    <row r="776" spans="1:13">
      <c r="A776" s="1">
        <f>HYPERLINK("http://www.twitter.com/NathanBLawrence/status/974330172638887937", "974330172638887937")</f>
        <v/>
      </c>
      <c r="B776" s="2" t="n">
        <v>43174.71052083333</v>
      </c>
      <c r="C776" t="n">
        <v>0</v>
      </c>
      <c r="D776" t="n">
        <v>0</v>
      </c>
      <c r="E776" t="s">
        <v>787</v>
      </c>
      <c r="F776" t="s"/>
      <c r="G776" t="s"/>
      <c r="H776" t="s"/>
      <c r="I776" t="s"/>
      <c r="J776" t="n">
        <v>-0.1779</v>
      </c>
      <c r="K776" t="n">
        <v>0.281</v>
      </c>
      <c r="L776" t="n">
        <v>0.496</v>
      </c>
      <c r="M776" t="n">
        <v>0.223</v>
      </c>
    </row>
    <row r="777" spans="1:13">
      <c r="A777" s="1">
        <f>HYPERLINK("http://www.twitter.com/NathanBLawrence/status/974277421657706496", "974277421657706496")</f>
        <v/>
      </c>
      <c r="B777" s="2" t="n">
        <v>43174.56496527778</v>
      </c>
      <c r="C777" t="n">
        <v>0</v>
      </c>
      <c r="D777" t="n">
        <v>0</v>
      </c>
      <c r="E777" t="s">
        <v>788</v>
      </c>
      <c r="F777" t="s"/>
      <c r="G777" t="s"/>
      <c r="H777" t="s"/>
      <c r="I777" t="s"/>
      <c r="J777" t="n">
        <v>-0.34</v>
      </c>
      <c r="K777" t="n">
        <v>0.211</v>
      </c>
      <c r="L777" t="n">
        <v>0.789</v>
      </c>
      <c r="M777" t="n">
        <v>0</v>
      </c>
    </row>
    <row r="778" spans="1:13">
      <c r="A778" s="1">
        <f>HYPERLINK("http://www.twitter.com/NathanBLawrence/status/974269427066834944", "974269427066834944")</f>
        <v/>
      </c>
      <c r="B778" s="2" t="n">
        <v>43174.5429050926</v>
      </c>
      <c r="C778" t="n">
        <v>0</v>
      </c>
      <c r="D778" t="n">
        <v>0</v>
      </c>
      <c r="E778" t="s">
        <v>789</v>
      </c>
      <c r="F778" t="s"/>
      <c r="G778" t="s"/>
      <c r="H778" t="s"/>
      <c r="I778" t="s"/>
      <c r="J778" t="n">
        <v>0.8225</v>
      </c>
      <c r="K778" t="n">
        <v>0</v>
      </c>
      <c r="L778" t="n">
        <v>0.677</v>
      </c>
      <c r="M778" t="n">
        <v>0.323</v>
      </c>
    </row>
    <row r="779" spans="1:13">
      <c r="A779" s="1">
        <f>HYPERLINK("http://www.twitter.com/NathanBLawrence/status/974266612131000320", "974266612131000320")</f>
        <v/>
      </c>
      <c r="B779" s="2" t="n">
        <v>43174.53512731481</v>
      </c>
      <c r="C779" t="n">
        <v>0</v>
      </c>
      <c r="D779" t="n">
        <v>0</v>
      </c>
      <c r="E779" t="s">
        <v>790</v>
      </c>
      <c r="F779" t="s"/>
      <c r="G779" t="s"/>
      <c r="H779" t="s"/>
      <c r="I779" t="s"/>
      <c r="J779" t="n">
        <v>-0.3182</v>
      </c>
      <c r="K779" t="n">
        <v>0.535</v>
      </c>
      <c r="L779" t="n">
        <v>0.465</v>
      </c>
      <c r="M779" t="n">
        <v>0</v>
      </c>
    </row>
    <row r="780" spans="1:13">
      <c r="A780" s="1">
        <f>HYPERLINK("http://www.twitter.com/NathanBLawrence/status/974126633278984192", "974126633278984192")</f>
        <v/>
      </c>
      <c r="B780" s="2" t="n">
        <v>43174.14886574074</v>
      </c>
      <c r="C780" t="n">
        <v>1</v>
      </c>
      <c r="D780" t="n">
        <v>1</v>
      </c>
      <c r="E780" t="s">
        <v>791</v>
      </c>
      <c r="F780" t="s"/>
      <c r="G780" t="s"/>
      <c r="H780" t="s"/>
      <c r="I780" t="s"/>
      <c r="J780" t="n">
        <v>0.3612</v>
      </c>
      <c r="K780" t="n">
        <v>0</v>
      </c>
      <c r="L780" t="n">
        <v>0.828</v>
      </c>
      <c r="M780" t="n">
        <v>0.172</v>
      </c>
    </row>
    <row r="781" spans="1:13">
      <c r="A781" s="1">
        <f>HYPERLINK("http://www.twitter.com/NathanBLawrence/status/974125778827923458", "974125778827923458")</f>
        <v/>
      </c>
      <c r="B781" s="2" t="n">
        <v>43174.14650462963</v>
      </c>
      <c r="C781" t="n">
        <v>2</v>
      </c>
      <c r="D781" t="n">
        <v>0</v>
      </c>
      <c r="E781" t="s">
        <v>792</v>
      </c>
      <c r="F781" t="s"/>
      <c r="G781" t="s"/>
      <c r="H781" t="s"/>
      <c r="I781" t="s"/>
      <c r="J781" t="n">
        <v>0</v>
      </c>
      <c r="K781" t="n">
        <v>0</v>
      </c>
      <c r="L781" t="n">
        <v>1</v>
      </c>
      <c r="M781" t="n">
        <v>0</v>
      </c>
    </row>
    <row r="782" spans="1:13">
      <c r="A782" s="1">
        <f>HYPERLINK("http://www.twitter.com/NathanBLawrence/status/974123936085626885", "974123936085626885")</f>
        <v/>
      </c>
      <c r="B782" s="2" t="n">
        <v>43174.14142361111</v>
      </c>
      <c r="C782" t="n">
        <v>0</v>
      </c>
      <c r="D782" t="n">
        <v>0</v>
      </c>
      <c r="E782" t="s">
        <v>793</v>
      </c>
      <c r="F782" t="s"/>
      <c r="G782" t="s"/>
      <c r="H782" t="s"/>
      <c r="I782" t="s"/>
      <c r="J782" t="n">
        <v>0.6486</v>
      </c>
      <c r="K782" t="n">
        <v>0</v>
      </c>
      <c r="L782" t="n">
        <v>0.854</v>
      </c>
      <c r="M782" t="n">
        <v>0.146</v>
      </c>
    </row>
    <row r="783" spans="1:13">
      <c r="A783" s="1">
        <f>HYPERLINK("http://www.twitter.com/NathanBLawrence/status/974122070849224704", "974122070849224704")</f>
        <v/>
      </c>
      <c r="B783" s="2" t="n">
        <v>43174.13627314815</v>
      </c>
      <c r="C783" t="n">
        <v>0</v>
      </c>
      <c r="D783" t="n">
        <v>0</v>
      </c>
      <c r="E783" t="s">
        <v>794</v>
      </c>
      <c r="F783" t="s"/>
      <c r="G783" t="s"/>
      <c r="H783" t="s"/>
      <c r="I783" t="s"/>
      <c r="J783" t="n">
        <v>0.3182</v>
      </c>
      <c r="K783" t="n">
        <v>0</v>
      </c>
      <c r="L783" t="n">
        <v>0.887</v>
      </c>
      <c r="M783" t="n">
        <v>0.113</v>
      </c>
    </row>
    <row r="784" spans="1:13">
      <c r="A784" s="1">
        <f>HYPERLINK("http://www.twitter.com/NathanBLawrence/status/974121393796284417", "974121393796284417")</f>
        <v/>
      </c>
      <c r="B784" s="2" t="n">
        <v>43174.13440972222</v>
      </c>
      <c r="C784" t="n">
        <v>0</v>
      </c>
      <c r="D784" t="n">
        <v>0</v>
      </c>
      <c r="E784" t="s">
        <v>795</v>
      </c>
      <c r="F784" t="s"/>
      <c r="G784" t="s"/>
      <c r="H784" t="s"/>
      <c r="I784" t="s"/>
      <c r="J784" t="n">
        <v>-0.2023</v>
      </c>
      <c r="K784" t="n">
        <v>0.154</v>
      </c>
      <c r="L784" t="n">
        <v>0.726</v>
      </c>
      <c r="M784" t="n">
        <v>0.12</v>
      </c>
    </row>
    <row r="785" spans="1:13">
      <c r="A785" s="1">
        <f>HYPERLINK("http://www.twitter.com/NathanBLawrence/status/974117534080356353", "974117534080356353")</f>
        <v/>
      </c>
      <c r="B785" s="2" t="n">
        <v>43174.12376157408</v>
      </c>
      <c r="C785" t="n">
        <v>0</v>
      </c>
      <c r="D785" t="n">
        <v>0</v>
      </c>
      <c r="E785" t="s">
        <v>796</v>
      </c>
      <c r="F785" t="s"/>
      <c r="G785" t="s"/>
      <c r="H785" t="s"/>
      <c r="I785" t="s"/>
      <c r="J785" t="n">
        <v>0.4215</v>
      </c>
      <c r="K785" t="n">
        <v>0</v>
      </c>
      <c r="L785" t="n">
        <v>0.781</v>
      </c>
      <c r="M785" t="n">
        <v>0.219</v>
      </c>
    </row>
    <row r="786" spans="1:13">
      <c r="A786" s="1">
        <f>HYPERLINK("http://www.twitter.com/NathanBLawrence/status/974108122783600640", "974108122783600640")</f>
        <v/>
      </c>
      <c r="B786" s="2" t="n">
        <v>43174.09778935185</v>
      </c>
      <c r="C786" t="n">
        <v>1</v>
      </c>
      <c r="D786" t="n">
        <v>0</v>
      </c>
      <c r="E786" t="s">
        <v>797</v>
      </c>
      <c r="F786" t="s"/>
      <c r="G786" t="s"/>
      <c r="H786" t="s"/>
      <c r="I786" t="s"/>
      <c r="J786" t="n">
        <v>0.2023</v>
      </c>
      <c r="K786" t="n">
        <v>0.063</v>
      </c>
      <c r="L786" t="n">
        <v>0.852</v>
      </c>
      <c r="M786" t="n">
        <v>0.08500000000000001</v>
      </c>
    </row>
    <row r="787" spans="1:13">
      <c r="A787" s="1">
        <f>HYPERLINK("http://www.twitter.com/NathanBLawrence/status/974101054362177539", "974101054362177539")</f>
        <v/>
      </c>
      <c r="B787" s="2" t="n">
        <v>43174.07827546296</v>
      </c>
      <c r="C787" t="n">
        <v>2</v>
      </c>
      <c r="D787" t="n">
        <v>0</v>
      </c>
      <c r="E787" t="s">
        <v>798</v>
      </c>
      <c r="F787" t="s"/>
      <c r="G787" t="s"/>
      <c r="H787" t="s"/>
      <c r="I787" t="s"/>
      <c r="J787" t="n">
        <v>0.5719</v>
      </c>
      <c r="K787" t="n">
        <v>0</v>
      </c>
      <c r="L787" t="n">
        <v>0.866</v>
      </c>
      <c r="M787" t="n">
        <v>0.134</v>
      </c>
    </row>
    <row r="788" spans="1:13">
      <c r="A788" s="1">
        <f>HYPERLINK("http://www.twitter.com/NathanBLawrence/status/974068455384211456", "974068455384211456")</f>
        <v/>
      </c>
      <c r="B788" s="2" t="n">
        <v>43173.98832175926</v>
      </c>
      <c r="C788" t="n">
        <v>0</v>
      </c>
      <c r="D788" t="n">
        <v>2907</v>
      </c>
      <c r="E788" t="s">
        <v>799</v>
      </c>
      <c r="F788">
        <f>HYPERLINK("https://video.twimg.com/ext_tw_video/974067672068472832/pu/vid/178x320/eGTZGaj_xjLpZto5.mp4", "https://video.twimg.com/ext_tw_video/974067672068472832/pu/vid/178x320/eGTZGaj_xjLpZto5.mp4")</f>
        <v/>
      </c>
      <c r="G788" t="s"/>
      <c r="H788" t="s"/>
      <c r="I788" t="s"/>
      <c r="J788" t="n">
        <v>-0.7644</v>
      </c>
      <c r="K788" t="n">
        <v>0.279</v>
      </c>
      <c r="L788" t="n">
        <v>0.721</v>
      </c>
      <c r="M788" t="n">
        <v>0</v>
      </c>
    </row>
    <row r="789" spans="1:13">
      <c r="A789" s="1">
        <f>HYPERLINK("http://www.twitter.com/NathanBLawrence/status/974057834332807168", "974057834332807168")</f>
        <v/>
      </c>
      <c r="B789" s="2" t="n">
        <v>43173.95901620371</v>
      </c>
      <c r="C789" t="n">
        <v>1</v>
      </c>
      <c r="D789" t="n">
        <v>0</v>
      </c>
      <c r="E789" t="s">
        <v>800</v>
      </c>
      <c r="F789" t="s"/>
      <c r="G789" t="s"/>
      <c r="H789" t="s"/>
      <c r="I789" t="s"/>
      <c r="J789" t="n">
        <v>0</v>
      </c>
      <c r="K789" t="n">
        <v>0</v>
      </c>
      <c r="L789" t="n">
        <v>1</v>
      </c>
      <c r="M789" t="n">
        <v>0</v>
      </c>
    </row>
    <row r="790" spans="1:13">
      <c r="A790" s="1">
        <f>HYPERLINK("http://www.twitter.com/NathanBLawrence/status/974027270317895680", "974027270317895680")</f>
        <v/>
      </c>
      <c r="B790" s="2" t="n">
        <v>43173.87467592592</v>
      </c>
      <c r="C790" t="n">
        <v>0</v>
      </c>
      <c r="D790" t="n">
        <v>0</v>
      </c>
      <c r="E790" t="s">
        <v>801</v>
      </c>
      <c r="F790" t="s"/>
      <c r="G790" t="s"/>
      <c r="H790" t="s"/>
      <c r="I790" t="s"/>
      <c r="J790" t="n">
        <v>0</v>
      </c>
      <c r="K790" t="n">
        <v>0</v>
      </c>
      <c r="L790" t="n">
        <v>1</v>
      </c>
      <c r="M790" t="n">
        <v>0</v>
      </c>
    </row>
    <row r="791" spans="1:13">
      <c r="A791" s="1">
        <f>HYPERLINK("http://www.twitter.com/NathanBLawrence/status/974025451264978944", "974025451264978944")</f>
        <v/>
      </c>
      <c r="B791" s="2" t="n">
        <v>43173.86965277778</v>
      </c>
      <c r="C791" t="n">
        <v>1</v>
      </c>
      <c r="D791" t="n">
        <v>1</v>
      </c>
      <c r="E791" t="s">
        <v>802</v>
      </c>
      <c r="F791" t="s"/>
      <c r="G791" t="s"/>
      <c r="H791" t="s"/>
      <c r="I791" t="s"/>
      <c r="J791" t="n">
        <v>0.4588</v>
      </c>
      <c r="K791" t="n">
        <v>0</v>
      </c>
      <c r="L791" t="n">
        <v>0.75</v>
      </c>
      <c r="M791" t="n">
        <v>0.25</v>
      </c>
    </row>
    <row r="792" spans="1:13">
      <c r="A792" s="1">
        <f>HYPERLINK("http://www.twitter.com/NathanBLawrence/status/973992596728098824", "973992596728098824")</f>
        <v/>
      </c>
      <c r="B792" s="2" t="n">
        <v>43173.77899305556</v>
      </c>
      <c r="C792" t="n">
        <v>0</v>
      </c>
      <c r="D792" t="n">
        <v>768</v>
      </c>
      <c r="E792" t="s">
        <v>803</v>
      </c>
      <c r="F792" t="s"/>
      <c r="G792" t="s"/>
      <c r="H792" t="s"/>
      <c r="I792" t="s"/>
      <c r="J792" t="n">
        <v>-0.4019</v>
      </c>
      <c r="K792" t="n">
        <v>0.162</v>
      </c>
      <c r="L792" t="n">
        <v>0.838</v>
      </c>
      <c r="M792" t="n">
        <v>0</v>
      </c>
    </row>
    <row r="793" spans="1:13">
      <c r="A793" s="1">
        <f>HYPERLINK("http://www.twitter.com/NathanBLawrence/status/973959023656611840", "973959023656611840")</f>
        <v/>
      </c>
      <c r="B793" s="2" t="n">
        <v>43173.68635416667</v>
      </c>
      <c r="C793" t="n">
        <v>0</v>
      </c>
      <c r="D793" t="n">
        <v>0</v>
      </c>
      <c r="E793" t="s">
        <v>804</v>
      </c>
      <c r="F793" t="s"/>
      <c r="G793" t="s"/>
      <c r="H793" t="s"/>
      <c r="I793" t="s"/>
      <c r="J793" t="n">
        <v>0</v>
      </c>
      <c r="K793" t="n">
        <v>0</v>
      </c>
      <c r="L793" t="n">
        <v>1</v>
      </c>
      <c r="M793" t="n">
        <v>0</v>
      </c>
    </row>
    <row r="794" spans="1:13">
      <c r="A794" s="1">
        <f>HYPERLINK("http://www.twitter.com/NathanBLawrence/status/973958747872776192", "973958747872776192")</f>
        <v/>
      </c>
      <c r="B794" s="2" t="n">
        <v>43173.68559027778</v>
      </c>
      <c r="C794" t="n">
        <v>1</v>
      </c>
      <c r="D794" t="n">
        <v>0</v>
      </c>
      <c r="E794" t="s">
        <v>805</v>
      </c>
      <c r="F794" t="s"/>
      <c r="G794" t="s"/>
      <c r="H794" t="s"/>
      <c r="I794" t="s"/>
      <c r="J794" t="n">
        <v>0</v>
      </c>
      <c r="K794" t="n">
        <v>0</v>
      </c>
      <c r="L794" t="n">
        <v>1</v>
      </c>
      <c r="M794" t="n">
        <v>0</v>
      </c>
    </row>
    <row r="795" spans="1:13">
      <c r="A795" s="1">
        <f>HYPERLINK("http://www.twitter.com/NathanBLawrence/status/973958419865653250", "973958419865653250")</f>
        <v/>
      </c>
      <c r="B795" s="2" t="n">
        <v>43173.6846875</v>
      </c>
      <c r="C795" t="n">
        <v>0</v>
      </c>
      <c r="D795" t="n">
        <v>0</v>
      </c>
      <c r="E795" t="s">
        <v>806</v>
      </c>
      <c r="F795" t="s"/>
      <c r="G795" t="s"/>
      <c r="H795" t="s"/>
      <c r="I795" t="s"/>
      <c r="J795" t="n">
        <v>0.2716</v>
      </c>
      <c r="K795" t="n">
        <v>0.161</v>
      </c>
      <c r="L795" t="n">
        <v>0.604</v>
      </c>
      <c r="M795" t="n">
        <v>0.235</v>
      </c>
    </row>
    <row r="796" spans="1:13">
      <c r="A796" s="1">
        <f>HYPERLINK("http://www.twitter.com/NathanBLawrence/status/973908831012114432", "973908831012114432")</f>
        <v/>
      </c>
      <c r="B796" s="2" t="n">
        <v>43173.54784722222</v>
      </c>
      <c r="C796" t="n">
        <v>0</v>
      </c>
      <c r="D796" t="n">
        <v>0</v>
      </c>
      <c r="E796" t="s">
        <v>807</v>
      </c>
      <c r="F796" t="s"/>
      <c r="G796" t="s"/>
      <c r="H796" t="s"/>
      <c r="I796" t="s"/>
      <c r="J796" t="n">
        <v>-0.218</v>
      </c>
      <c r="K796" t="n">
        <v>0.157</v>
      </c>
      <c r="L796" t="n">
        <v>0.7</v>
      </c>
      <c r="M796" t="n">
        <v>0.143</v>
      </c>
    </row>
    <row r="797" spans="1:13">
      <c r="A797" s="1">
        <f>HYPERLINK("http://www.twitter.com/NathanBLawrence/status/973757402980941826", "973757402980941826")</f>
        <v/>
      </c>
      <c r="B797" s="2" t="n">
        <v>43173.12998842593</v>
      </c>
      <c r="C797" t="n">
        <v>1</v>
      </c>
      <c r="D797" t="n">
        <v>0</v>
      </c>
      <c r="E797" t="s">
        <v>808</v>
      </c>
      <c r="F797" t="s"/>
      <c r="G797" t="s"/>
      <c r="H797" t="s"/>
      <c r="I797" t="s"/>
      <c r="J797" t="n">
        <v>0.2732</v>
      </c>
      <c r="K797" t="n">
        <v>0</v>
      </c>
      <c r="L797" t="n">
        <v>0.769</v>
      </c>
      <c r="M797" t="n">
        <v>0.231</v>
      </c>
    </row>
    <row r="798" spans="1:13">
      <c r="A798" s="1">
        <f>HYPERLINK("http://www.twitter.com/NathanBLawrence/status/973755791063822336", "973755791063822336")</f>
        <v/>
      </c>
      <c r="B798" s="2" t="n">
        <v>43173.12553240741</v>
      </c>
      <c r="C798" t="n">
        <v>5</v>
      </c>
      <c r="D798" t="n">
        <v>1</v>
      </c>
      <c r="E798" t="s">
        <v>809</v>
      </c>
      <c r="F798">
        <f>HYPERLINK("http://pbs.twimg.com/media/DYN5uibVMAgLcLz.jpg", "http://pbs.twimg.com/media/DYN5uibVMAgLcLz.jpg")</f>
        <v/>
      </c>
      <c r="G798" t="s"/>
      <c r="H798" t="s"/>
      <c r="I798" t="s"/>
      <c r="J798" t="n">
        <v>0.6597</v>
      </c>
      <c r="K798" t="n">
        <v>0</v>
      </c>
      <c r="L798" t="n">
        <v>0.795</v>
      </c>
      <c r="M798" t="n">
        <v>0.205</v>
      </c>
    </row>
    <row r="799" spans="1:13">
      <c r="A799" s="1">
        <f>HYPERLINK("http://www.twitter.com/NathanBLawrence/status/973747178689753093", "973747178689753093")</f>
        <v/>
      </c>
      <c r="B799" s="2" t="n">
        <v>43173.10177083333</v>
      </c>
      <c r="C799" t="n">
        <v>0</v>
      </c>
      <c r="D799" t="n">
        <v>264</v>
      </c>
      <c r="E799" t="s">
        <v>810</v>
      </c>
      <c r="F799" t="s"/>
      <c r="G799" t="s"/>
      <c r="H799" t="s"/>
      <c r="I799" t="s"/>
      <c r="J799" t="n">
        <v>0.0258</v>
      </c>
      <c r="K799" t="n">
        <v>0</v>
      </c>
      <c r="L799" t="n">
        <v>0.954</v>
      </c>
      <c r="M799" t="n">
        <v>0.046</v>
      </c>
    </row>
    <row r="800" spans="1:13">
      <c r="A800" s="1">
        <f>HYPERLINK("http://www.twitter.com/NathanBLawrence/status/973746941178851328", "973746941178851328")</f>
        <v/>
      </c>
      <c r="B800" s="2" t="n">
        <v>43173.10111111111</v>
      </c>
      <c r="C800" t="n">
        <v>0</v>
      </c>
      <c r="D800" t="n">
        <v>0</v>
      </c>
      <c r="E800" t="s">
        <v>811</v>
      </c>
      <c r="F800" t="s"/>
      <c r="G800" t="s"/>
      <c r="H800" t="s"/>
      <c r="I800" t="s"/>
      <c r="J800" t="n">
        <v>0</v>
      </c>
      <c r="K800" t="n">
        <v>0</v>
      </c>
      <c r="L800" t="n">
        <v>1</v>
      </c>
      <c r="M800" t="n">
        <v>0</v>
      </c>
    </row>
    <row r="801" spans="1:13">
      <c r="A801" s="1">
        <f>HYPERLINK("http://www.twitter.com/NathanBLawrence/status/973746211957231616", "973746211957231616")</f>
        <v/>
      </c>
      <c r="B801" s="2" t="n">
        <v>43173.09909722222</v>
      </c>
      <c r="C801" t="n">
        <v>2</v>
      </c>
      <c r="D801" t="n">
        <v>0</v>
      </c>
      <c r="E801" t="s">
        <v>812</v>
      </c>
      <c r="F801" t="s"/>
      <c r="G801" t="s"/>
      <c r="H801" t="s"/>
      <c r="I801" t="s"/>
      <c r="J801" t="n">
        <v>-0.7371</v>
      </c>
      <c r="K801" t="n">
        <v>0.357</v>
      </c>
      <c r="L801" t="n">
        <v>0.643</v>
      </c>
      <c r="M801" t="n">
        <v>0</v>
      </c>
    </row>
    <row r="802" spans="1:13">
      <c r="A802" s="1">
        <f>HYPERLINK("http://www.twitter.com/NathanBLawrence/status/973742293009272834", "973742293009272834")</f>
        <v/>
      </c>
      <c r="B802" s="2" t="n">
        <v>43173.08828703704</v>
      </c>
      <c r="C802" t="n">
        <v>1</v>
      </c>
      <c r="D802" t="n">
        <v>0</v>
      </c>
      <c r="E802" t="s">
        <v>813</v>
      </c>
      <c r="F802" t="s"/>
      <c r="G802" t="s"/>
      <c r="H802" t="s"/>
      <c r="I802" t="s"/>
      <c r="J802" t="n">
        <v>0</v>
      </c>
      <c r="K802" t="n">
        <v>0</v>
      </c>
      <c r="L802" t="n">
        <v>1</v>
      </c>
      <c r="M802" t="n">
        <v>0</v>
      </c>
    </row>
    <row r="803" spans="1:13">
      <c r="A803" s="1">
        <f>HYPERLINK("http://www.twitter.com/NathanBLawrence/status/973736902556835840", "973736902556835840")</f>
        <v/>
      </c>
      <c r="B803" s="2" t="n">
        <v>43173.07341435185</v>
      </c>
      <c r="C803" t="n">
        <v>0</v>
      </c>
      <c r="D803" t="n">
        <v>0</v>
      </c>
      <c r="E803" t="s">
        <v>814</v>
      </c>
      <c r="F803" t="s"/>
      <c r="G803" t="s"/>
      <c r="H803" t="s"/>
      <c r="I803" t="s"/>
      <c r="J803" t="n">
        <v>-0.3753</v>
      </c>
      <c r="K803" t="n">
        <v>0.155</v>
      </c>
      <c r="L803" t="n">
        <v>0.845</v>
      </c>
      <c r="M803" t="n">
        <v>0</v>
      </c>
    </row>
    <row r="804" spans="1:13">
      <c r="A804" s="1">
        <f>HYPERLINK("http://www.twitter.com/NathanBLawrence/status/973728767213494272", "973728767213494272")</f>
        <v/>
      </c>
      <c r="B804" s="2" t="n">
        <v>43173.05096064815</v>
      </c>
      <c r="C804" t="n">
        <v>0</v>
      </c>
      <c r="D804" t="n">
        <v>0</v>
      </c>
      <c r="E804" t="s">
        <v>815</v>
      </c>
      <c r="F804" t="s"/>
      <c r="G804" t="s"/>
      <c r="H804" t="s"/>
      <c r="I804" t="s"/>
      <c r="J804" t="n">
        <v>0.2263</v>
      </c>
      <c r="K804" t="n">
        <v>0</v>
      </c>
      <c r="L804" t="n">
        <v>0.8080000000000001</v>
      </c>
      <c r="M804" t="n">
        <v>0.192</v>
      </c>
    </row>
    <row r="805" spans="1:13">
      <c r="A805" s="1">
        <f>HYPERLINK("http://www.twitter.com/NathanBLawrence/status/973637739856912384", "973637739856912384")</f>
        <v/>
      </c>
      <c r="B805" s="2" t="n">
        <v>43172.7997800926</v>
      </c>
      <c r="C805" t="n">
        <v>0</v>
      </c>
      <c r="D805" t="n">
        <v>9776</v>
      </c>
      <c r="E805" t="s">
        <v>816</v>
      </c>
      <c r="F805" t="s"/>
      <c r="G805" t="s"/>
      <c r="H805" t="s"/>
      <c r="I805" t="s"/>
      <c r="J805" t="n">
        <v>-0.4648</v>
      </c>
      <c r="K805" t="n">
        <v>0.132</v>
      </c>
      <c r="L805" t="n">
        <v>0.868</v>
      </c>
      <c r="M805" t="n">
        <v>0</v>
      </c>
    </row>
    <row r="806" spans="1:13">
      <c r="A806" s="1">
        <f>HYPERLINK("http://www.twitter.com/NathanBLawrence/status/973637491440934914", "973637491440934914")</f>
        <v/>
      </c>
      <c r="B806" s="2" t="n">
        <v>43172.79908564815</v>
      </c>
      <c r="C806" t="n">
        <v>0</v>
      </c>
      <c r="D806" t="n">
        <v>0</v>
      </c>
      <c r="E806" t="s">
        <v>817</v>
      </c>
      <c r="F806" t="s"/>
      <c r="G806" t="s"/>
      <c r="H806" t="s"/>
      <c r="I806" t="s"/>
      <c r="J806" t="n">
        <v>-0.7332</v>
      </c>
      <c r="K806" t="n">
        <v>0.341</v>
      </c>
      <c r="L806" t="n">
        <v>0.659</v>
      </c>
      <c r="M806" t="n">
        <v>0</v>
      </c>
    </row>
    <row r="807" spans="1:13">
      <c r="A807" s="1">
        <f>HYPERLINK("http://www.twitter.com/NathanBLawrence/status/973579466361524224", "973579466361524224")</f>
        <v/>
      </c>
      <c r="B807" s="2" t="n">
        <v>43172.63896990741</v>
      </c>
      <c r="C807" t="n">
        <v>0</v>
      </c>
      <c r="D807" t="n">
        <v>0</v>
      </c>
      <c r="E807" t="s">
        <v>818</v>
      </c>
      <c r="F807" t="s"/>
      <c r="G807" t="s"/>
      <c r="H807" t="s"/>
      <c r="I807" t="s"/>
      <c r="J807" t="n">
        <v>-0.3818</v>
      </c>
      <c r="K807" t="n">
        <v>0.197</v>
      </c>
      <c r="L807" t="n">
        <v>0.6909999999999999</v>
      </c>
      <c r="M807" t="n">
        <v>0.112</v>
      </c>
    </row>
    <row r="808" spans="1:13">
      <c r="A808" s="1">
        <f>HYPERLINK("http://www.twitter.com/NathanBLawrence/status/973579181278875649", "973579181278875649")</f>
        <v/>
      </c>
      <c r="B808" s="2" t="n">
        <v>43172.63818287037</v>
      </c>
      <c r="C808" t="n">
        <v>0</v>
      </c>
      <c r="D808" t="n">
        <v>0</v>
      </c>
      <c r="E808" t="s">
        <v>819</v>
      </c>
      <c r="F808" t="s"/>
      <c r="G808" t="s"/>
      <c r="H808" t="s"/>
      <c r="I808" t="s"/>
      <c r="J808" t="n">
        <v>-0.5719</v>
      </c>
      <c r="K808" t="n">
        <v>0.252</v>
      </c>
      <c r="L808" t="n">
        <v>0.748</v>
      </c>
      <c r="M808" t="n">
        <v>0</v>
      </c>
    </row>
    <row r="809" spans="1:13">
      <c r="A809" s="1">
        <f>HYPERLINK("http://www.twitter.com/NathanBLawrence/status/973556257725566976", "973556257725566976")</f>
        <v/>
      </c>
      <c r="B809" s="2" t="n">
        <v>43172.57493055556</v>
      </c>
      <c r="C809" t="n">
        <v>0</v>
      </c>
      <c r="D809" t="n">
        <v>0</v>
      </c>
      <c r="E809" t="s">
        <v>820</v>
      </c>
      <c r="F809" t="s"/>
      <c r="G809" t="s"/>
      <c r="H809" t="s"/>
      <c r="I809" t="s"/>
      <c r="J809" t="n">
        <v>0</v>
      </c>
      <c r="K809" t="n">
        <v>0</v>
      </c>
      <c r="L809" t="n">
        <v>1</v>
      </c>
      <c r="M809" t="n">
        <v>0</v>
      </c>
    </row>
    <row r="810" spans="1:13">
      <c r="A810" s="1">
        <f>HYPERLINK("http://www.twitter.com/NathanBLawrence/status/973552565911719936", "973552565911719936")</f>
        <v/>
      </c>
      <c r="B810" s="2" t="n">
        <v>43172.56474537037</v>
      </c>
      <c r="C810" t="n">
        <v>0</v>
      </c>
      <c r="D810" t="n">
        <v>0</v>
      </c>
      <c r="E810" t="s">
        <v>821</v>
      </c>
      <c r="F810" t="s"/>
      <c r="G810" t="s"/>
      <c r="H810" t="s"/>
      <c r="I810" t="s"/>
      <c r="J810" t="n">
        <v>-0.3049</v>
      </c>
      <c r="K810" t="n">
        <v>0.161</v>
      </c>
      <c r="L810" t="n">
        <v>0.743</v>
      </c>
      <c r="M810" t="n">
        <v>0.096</v>
      </c>
    </row>
    <row r="811" spans="1:13">
      <c r="A811" s="1">
        <f>HYPERLINK("http://www.twitter.com/NathanBLawrence/status/973542927665332225", "973542927665332225")</f>
        <v/>
      </c>
      <c r="B811" s="2" t="n">
        <v>43172.53814814815</v>
      </c>
      <c r="C811" t="n">
        <v>0</v>
      </c>
      <c r="D811" t="n">
        <v>0</v>
      </c>
      <c r="E811" t="s">
        <v>822</v>
      </c>
      <c r="F811" t="s"/>
      <c r="G811" t="s"/>
      <c r="H811" t="s"/>
      <c r="I811" t="s"/>
      <c r="J811" t="n">
        <v>-0.8442</v>
      </c>
      <c r="K811" t="n">
        <v>0.363</v>
      </c>
      <c r="L811" t="n">
        <v>0.637</v>
      </c>
      <c r="M811" t="n">
        <v>0</v>
      </c>
    </row>
    <row r="812" spans="1:13">
      <c r="A812" s="1">
        <f>HYPERLINK("http://www.twitter.com/NathanBLawrence/status/973507382239166464", "973507382239166464")</f>
        <v/>
      </c>
      <c r="B812" s="2" t="n">
        <v>43172.44005787037</v>
      </c>
      <c r="C812" t="n">
        <v>0</v>
      </c>
      <c r="D812" t="n">
        <v>2</v>
      </c>
      <c r="E812" t="s">
        <v>823</v>
      </c>
      <c r="F812" t="s"/>
      <c r="G812" t="s"/>
      <c r="H812" t="s"/>
      <c r="I812" t="s"/>
      <c r="J812" t="n">
        <v>0</v>
      </c>
      <c r="K812" t="n">
        <v>0</v>
      </c>
      <c r="L812" t="n">
        <v>1</v>
      </c>
      <c r="M812" t="n">
        <v>0</v>
      </c>
    </row>
    <row r="813" spans="1:13">
      <c r="A813" s="1">
        <f>HYPERLINK("http://www.twitter.com/NathanBLawrence/status/973507322365521920", "973507322365521920")</f>
        <v/>
      </c>
      <c r="B813" s="2" t="n">
        <v>43172.43989583333</v>
      </c>
      <c r="C813" t="n">
        <v>2</v>
      </c>
      <c r="D813" t="n">
        <v>2</v>
      </c>
      <c r="E813" t="s">
        <v>824</v>
      </c>
      <c r="F813" t="s"/>
      <c r="G813" t="s"/>
      <c r="H813" t="s"/>
      <c r="I813" t="s"/>
      <c r="J813" t="n">
        <v>0</v>
      </c>
      <c r="K813" t="n">
        <v>0</v>
      </c>
      <c r="L813" t="n">
        <v>1</v>
      </c>
      <c r="M813" t="n">
        <v>0</v>
      </c>
    </row>
    <row r="814" spans="1:13">
      <c r="A814" s="1">
        <f>HYPERLINK("http://www.twitter.com/NathanBLawrence/status/973411446917910528", "973411446917910528")</f>
        <v/>
      </c>
      <c r="B814" s="2" t="n">
        <v>43172.17532407407</v>
      </c>
      <c r="C814" t="n">
        <v>0</v>
      </c>
      <c r="D814" t="n">
        <v>4</v>
      </c>
      <c r="E814" t="s">
        <v>825</v>
      </c>
      <c r="F814" t="s"/>
      <c r="G814" t="s"/>
      <c r="H814" t="s"/>
      <c r="I814" t="s"/>
      <c r="J814" t="n">
        <v>0</v>
      </c>
      <c r="K814" t="n">
        <v>0</v>
      </c>
      <c r="L814" t="n">
        <v>1</v>
      </c>
      <c r="M814" t="n">
        <v>0</v>
      </c>
    </row>
    <row r="815" spans="1:13">
      <c r="A815" s="1">
        <f>HYPERLINK("http://www.twitter.com/NathanBLawrence/status/973405092383789056", "973405092383789056")</f>
        <v/>
      </c>
      <c r="B815" s="2" t="n">
        <v>43172.15778935186</v>
      </c>
      <c r="C815" t="n">
        <v>0</v>
      </c>
      <c r="D815" t="n">
        <v>0</v>
      </c>
      <c r="E815" t="s">
        <v>826</v>
      </c>
      <c r="F815" t="s"/>
      <c r="G815" t="s"/>
      <c r="H815" t="s"/>
      <c r="I815" t="s"/>
      <c r="J815" t="n">
        <v>0.1901</v>
      </c>
      <c r="K815" t="n">
        <v>0</v>
      </c>
      <c r="L815" t="n">
        <v>0.863</v>
      </c>
      <c r="M815" t="n">
        <v>0.137</v>
      </c>
    </row>
    <row r="816" spans="1:13">
      <c r="A816" s="1">
        <f>HYPERLINK("http://www.twitter.com/NathanBLawrence/status/973404412222767104", "973404412222767104")</f>
        <v/>
      </c>
      <c r="B816" s="2" t="n">
        <v>43172.15591435185</v>
      </c>
      <c r="C816" t="n">
        <v>0</v>
      </c>
      <c r="D816" t="n">
        <v>2803</v>
      </c>
      <c r="E816" t="s">
        <v>827</v>
      </c>
      <c r="F816" t="s"/>
      <c r="G816" t="s"/>
      <c r="H816" t="s"/>
      <c r="I816" t="s"/>
      <c r="J816" t="n">
        <v>0</v>
      </c>
      <c r="K816" t="n">
        <v>0</v>
      </c>
      <c r="L816" t="n">
        <v>1</v>
      </c>
      <c r="M816" t="n">
        <v>0</v>
      </c>
    </row>
    <row r="817" spans="1:13">
      <c r="A817" s="1">
        <f>HYPERLINK("http://www.twitter.com/NathanBLawrence/status/973404357248126976", "973404357248126976")</f>
        <v/>
      </c>
      <c r="B817" s="2" t="n">
        <v>43172.15576388889</v>
      </c>
      <c r="C817" t="n">
        <v>1</v>
      </c>
      <c r="D817" t="n">
        <v>0</v>
      </c>
      <c r="E817" t="s">
        <v>828</v>
      </c>
      <c r="F817" t="s"/>
      <c r="G817" t="s"/>
      <c r="H817" t="s"/>
      <c r="I817" t="s"/>
      <c r="J817" t="n">
        <v>0</v>
      </c>
      <c r="K817" t="n">
        <v>0</v>
      </c>
      <c r="L817" t="n">
        <v>1</v>
      </c>
      <c r="M817" t="n">
        <v>0</v>
      </c>
    </row>
    <row r="818" spans="1:13">
      <c r="A818" s="1">
        <f>HYPERLINK("http://www.twitter.com/NathanBLawrence/status/973403097350459392", "973403097350459392")</f>
        <v/>
      </c>
      <c r="B818" s="2" t="n">
        <v>43172.15229166667</v>
      </c>
      <c r="C818" t="n">
        <v>1</v>
      </c>
      <c r="D818" t="n">
        <v>1</v>
      </c>
      <c r="E818" t="s">
        <v>829</v>
      </c>
      <c r="F818" t="s"/>
      <c r="G818" t="s"/>
      <c r="H818" t="s"/>
      <c r="I818" t="s"/>
      <c r="J818" t="n">
        <v>0</v>
      </c>
      <c r="K818" t="n">
        <v>0</v>
      </c>
      <c r="L818" t="n">
        <v>1</v>
      </c>
      <c r="M818" t="n">
        <v>0</v>
      </c>
    </row>
    <row r="819" spans="1:13">
      <c r="A819" s="1">
        <f>HYPERLINK("http://www.twitter.com/NathanBLawrence/status/973399682138476544", "973399682138476544")</f>
        <v/>
      </c>
      <c r="B819" s="2" t="n">
        <v>43172.14285879629</v>
      </c>
      <c r="C819" t="n">
        <v>0</v>
      </c>
      <c r="D819" t="n">
        <v>0</v>
      </c>
      <c r="E819" t="s">
        <v>830</v>
      </c>
      <c r="F819" t="s"/>
      <c r="G819" t="s"/>
      <c r="H819" t="s"/>
      <c r="I819" t="s"/>
      <c r="J819" t="n">
        <v>-0.5216</v>
      </c>
      <c r="K819" t="n">
        <v>0.402</v>
      </c>
      <c r="L819" t="n">
        <v>0.598</v>
      </c>
      <c r="M819" t="n">
        <v>0</v>
      </c>
    </row>
    <row r="820" spans="1:13">
      <c r="A820" s="1">
        <f>HYPERLINK("http://www.twitter.com/NathanBLawrence/status/973398478163468289", "973398478163468289")</f>
        <v/>
      </c>
      <c r="B820" s="2" t="n">
        <v>43172.13953703704</v>
      </c>
      <c r="C820" t="n">
        <v>4</v>
      </c>
      <c r="D820" t="n">
        <v>0</v>
      </c>
      <c r="E820" t="s">
        <v>831</v>
      </c>
      <c r="F820" t="s"/>
      <c r="G820" t="s"/>
      <c r="H820" t="s"/>
      <c r="I820" t="s"/>
      <c r="J820" t="n">
        <v>0.3182</v>
      </c>
      <c r="K820" t="n">
        <v>0</v>
      </c>
      <c r="L820" t="n">
        <v>0.753</v>
      </c>
      <c r="M820" t="n">
        <v>0.247</v>
      </c>
    </row>
    <row r="821" spans="1:13">
      <c r="A821" s="1">
        <f>HYPERLINK("http://www.twitter.com/NathanBLawrence/status/973397864708788224", "973397864708788224")</f>
        <v/>
      </c>
      <c r="B821" s="2" t="n">
        <v>43172.13784722222</v>
      </c>
      <c r="C821" t="n">
        <v>6</v>
      </c>
      <c r="D821" t="n">
        <v>4</v>
      </c>
      <c r="E821" t="s">
        <v>832</v>
      </c>
      <c r="F821" t="s"/>
      <c r="G821" t="s"/>
      <c r="H821" t="s"/>
      <c r="I821" t="s"/>
      <c r="J821" t="n">
        <v>0.8442</v>
      </c>
      <c r="K821" t="n">
        <v>0.059</v>
      </c>
      <c r="L821" t="n">
        <v>0.502</v>
      </c>
      <c r="M821" t="n">
        <v>0.439</v>
      </c>
    </row>
    <row r="822" spans="1:13">
      <c r="A822" s="1">
        <f>HYPERLINK("http://www.twitter.com/NathanBLawrence/status/973390595304689664", "973390595304689664")</f>
        <v/>
      </c>
      <c r="B822" s="2" t="n">
        <v>43172.11778935185</v>
      </c>
      <c r="C822" t="n">
        <v>3</v>
      </c>
      <c r="D822" t="n">
        <v>0</v>
      </c>
      <c r="E822" t="s">
        <v>833</v>
      </c>
      <c r="F822" t="s"/>
      <c r="G822" t="s"/>
      <c r="H822" t="s"/>
      <c r="I822" t="s"/>
      <c r="J822" t="n">
        <v>-0.8131</v>
      </c>
      <c r="K822" t="n">
        <v>0.597</v>
      </c>
      <c r="L822" t="n">
        <v>0.403</v>
      </c>
      <c r="M822" t="n">
        <v>0</v>
      </c>
    </row>
    <row r="823" spans="1:13">
      <c r="A823" s="1">
        <f>HYPERLINK("http://www.twitter.com/NathanBLawrence/status/973390259949133824", "973390259949133824")</f>
        <v/>
      </c>
      <c r="B823" s="2" t="n">
        <v>43172.11686342592</v>
      </c>
      <c r="C823" t="n">
        <v>1</v>
      </c>
      <c r="D823" t="n">
        <v>1</v>
      </c>
      <c r="E823" t="s">
        <v>834</v>
      </c>
      <c r="F823" t="s"/>
      <c r="G823" t="s"/>
      <c r="H823" t="s"/>
      <c r="I823" t="s"/>
      <c r="J823" t="n">
        <v>-0.625</v>
      </c>
      <c r="K823" t="n">
        <v>0.578</v>
      </c>
      <c r="L823" t="n">
        <v>0.422</v>
      </c>
      <c r="M823" t="n">
        <v>0</v>
      </c>
    </row>
    <row r="824" spans="1:13">
      <c r="A824" s="1">
        <f>HYPERLINK("http://www.twitter.com/NathanBLawrence/status/973381995186262017", "973381995186262017")</f>
        <v/>
      </c>
      <c r="B824" s="2" t="n">
        <v>43172.09405092592</v>
      </c>
      <c r="C824" t="n">
        <v>28</v>
      </c>
      <c r="D824" t="n">
        <v>13</v>
      </c>
      <c r="E824" t="s">
        <v>835</v>
      </c>
      <c r="F824" t="s"/>
      <c r="G824" t="s"/>
      <c r="H824" t="s"/>
      <c r="I824" t="s"/>
      <c r="J824" t="n">
        <v>0.0772</v>
      </c>
      <c r="K824" t="n">
        <v>0</v>
      </c>
      <c r="L824" t="n">
        <v>0.9389999999999999</v>
      </c>
      <c r="M824" t="n">
        <v>0.061</v>
      </c>
    </row>
    <row r="825" spans="1:13">
      <c r="A825" s="1">
        <f>HYPERLINK("http://www.twitter.com/NathanBLawrence/status/973381066529689600", "973381066529689600")</f>
        <v/>
      </c>
      <c r="B825" s="2" t="n">
        <v>43172.09149305556</v>
      </c>
      <c r="C825" t="n">
        <v>0</v>
      </c>
      <c r="D825" t="n">
        <v>0</v>
      </c>
      <c r="E825" t="s">
        <v>836</v>
      </c>
      <c r="F825" t="s"/>
      <c r="G825" t="s"/>
      <c r="H825" t="s"/>
      <c r="I825" t="s"/>
      <c r="J825" t="n">
        <v>0</v>
      </c>
      <c r="K825" t="n">
        <v>0</v>
      </c>
      <c r="L825" t="n">
        <v>1</v>
      </c>
      <c r="M825" t="n">
        <v>0</v>
      </c>
    </row>
    <row r="826" spans="1:13">
      <c r="A826" s="1">
        <f>HYPERLINK("http://www.twitter.com/NathanBLawrence/status/973379100743258113", "973379100743258113")</f>
        <v/>
      </c>
      <c r="B826" s="2" t="n">
        <v>43172.08606481482</v>
      </c>
      <c r="C826" t="n">
        <v>0</v>
      </c>
      <c r="D826" t="n">
        <v>44237</v>
      </c>
      <c r="E826" t="s">
        <v>837</v>
      </c>
      <c r="F826" t="s"/>
      <c r="G826" t="s"/>
      <c r="H826" t="s"/>
      <c r="I826" t="s"/>
      <c r="J826" t="n">
        <v>0.2263</v>
      </c>
      <c r="K826" t="n">
        <v>0.123</v>
      </c>
      <c r="L826" t="n">
        <v>0.715</v>
      </c>
      <c r="M826" t="n">
        <v>0.161</v>
      </c>
    </row>
    <row r="827" spans="1:13">
      <c r="A827" s="1">
        <f>HYPERLINK("http://www.twitter.com/NathanBLawrence/status/973378339288354816", "973378339288354816")</f>
        <v/>
      </c>
      <c r="B827" s="2" t="n">
        <v>43172.08396990741</v>
      </c>
      <c r="C827" t="n">
        <v>0</v>
      </c>
      <c r="D827" t="n">
        <v>0</v>
      </c>
      <c r="E827" t="s">
        <v>838</v>
      </c>
      <c r="F827" t="s"/>
      <c r="G827" t="s"/>
      <c r="H827" t="s"/>
      <c r="I827" t="s"/>
      <c r="J827" t="n">
        <v>0.7405</v>
      </c>
      <c r="K827" t="n">
        <v>0</v>
      </c>
      <c r="L827" t="n">
        <v>0.571</v>
      </c>
      <c r="M827" t="n">
        <v>0.429</v>
      </c>
    </row>
    <row r="828" spans="1:13">
      <c r="A828" s="1">
        <f>HYPERLINK("http://www.twitter.com/NathanBLawrence/status/973343399578361856", "973343399578361856")</f>
        <v/>
      </c>
      <c r="B828" s="2" t="n">
        <v>43171.9875462963</v>
      </c>
      <c r="C828" t="n">
        <v>0</v>
      </c>
      <c r="D828" t="n">
        <v>0</v>
      </c>
      <c r="E828" t="s">
        <v>839</v>
      </c>
      <c r="F828" t="s"/>
      <c r="G828" t="s"/>
      <c r="H828" t="s"/>
      <c r="I828" t="s"/>
      <c r="J828" t="n">
        <v>0</v>
      </c>
      <c r="K828" t="n">
        <v>0</v>
      </c>
      <c r="L828" t="n">
        <v>1</v>
      </c>
      <c r="M828" t="n">
        <v>0</v>
      </c>
    </row>
    <row r="829" spans="1:13">
      <c r="A829" s="1">
        <f>HYPERLINK("http://www.twitter.com/NathanBLawrence/status/973337808063684614", "973337808063684614")</f>
        <v/>
      </c>
      <c r="B829" s="2" t="n">
        <v>43171.97211805556</v>
      </c>
      <c r="C829" t="n">
        <v>3</v>
      </c>
      <c r="D829" t="n">
        <v>0</v>
      </c>
      <c r="E829" t="s">
        <v>840</v>
      </c>
      <c r="F829" t="s"/>
      <c r="G829" t="s"/>
      <c r="H829" t="s"/>
      <c r="I829" t="s"/>
      <c r="J829" t="n">
        <v>0.0772</v>
      </c>
      <c r="K829" t="n">
        <v>0.108</v>
      </c>
      <c r="L829" t="n">
        <v>0.772</v>
      </c>
      <c r="M829" t="n">
        <v>0.12</v>
      </c>
    </row>
    <row r="830" spans="1:13">
      <c r="A830" s="1">
        <f>HYPERLINK("http://www.twitter.com/NathanBLawrence/status/973294245095378944", "973294245095378944")</f>
        <v/>
      </c>
      <c r="B830" s="2" t="n">
        <v>43171.85190972222</v>
      </c>
      <c r="C830" t="n">
        <v>0</v>
      </c>
      <c r="D830" t="n">
        <v>841</v>
      </c>
      <c r="E830" t="s">
        <v>841</v>
      </c>
      <c r="F830" t="s"/>
      <c r="G830" t="s"/>
      <c r="H830" t="s"/>
      <c r="I830" t="s"/>
      <c r="J830" t="n">
        <v>0.6369</v>
      </c>
      <c r="K830" t="n">
        <v>0</v>
      </c>
      <c r="L830" t="n">
        <v>0.776</v>
      </c>
      <c r="M830" t="n">
        <v>0.224</v>
      </c>
    </row>
    <row r="831" spans="1:13">
      <c r="A831" s="1">
        <f>HYPERLINK("http://www.twitter.com/NathanBLawrence/status/973235953400762368", "973235953400762368")</f>
        <v/>
      </c>
      <c r="B831" s="2" t="n">
        <v>43171.69105324074</v>
      </c>
      <c r="C831" t="n">
        <v>0</v>
      </c>
      <c r="D831" t="n">
        <v>79</v>
      </c>
      <c r="E831" t="s">
        <v>842</v>
      </c>
      <c r="F831">
        <f>HYPERLINK("http://pbs.twimg.com/media/DX2353aXUAAxCGT.jpg", "http://pbs.twimg.com/media/DX2353aXUAAxCGT.jpg")</f>
        <v/>
      </c>
      <c r="G831" t="s"/>
      <c r="H831" t="s"/>
      <c r="I831" t="s"/>
      <c r="J831" t="n">
        <v>0.3612</v>
      </c>
      <c r="K831" t="n">
        <v>0</v>
      </c>
      <c r="L831" t="n">
        <v>0.762</v>
      </c>
      <c r="M831" t="n">
        <v>0.238</v>
      </c>
    </row>
    <row r="832" spans="1:13">
      <c r="A832" s="1">
        <f>HYPERLINK("http://www.twitter.com/NathanBLawrence/status/973191025207529472", "973191025207529472")</f>
        <v/>
      </c>
      <c r="B832" s="2" t="n">
        <v>43171.56708333334</v>
      </c>
      <c r="C832" t="n">
        <v>0</v>
      </c>
      <c r="D832" t="n">
        <v>0</v>
      </c>
      <c r="E832" t="s">
        <v>843</v>
      </c>
      <c r="F832" t="s"/>
      <c r="G832" t="s"/>
      <c r="H832" t="s"/>
      <c r="I832" t="s"/>
      <c r="J832" t="n">
        <v>0</v>
      </c>
      <c r="K832" t="n">
        <v>0</v>
      </c>
      <c r="L832" t="n">
        <v>1</v>
      </c>
      <c r="M832" t="n">
        <v>0</v>
      </c>
    </row>
    <row r="833" spans="1:13">
      <c r="A833" s="1">
        <f>HYPERLINK("http://www.twitter.com/NathanBLawrence/status/973189695403446272", "973189695403446272")</f>
        <v/>
      </c>
      <c r="B833" s="2" t="n">
        <v>43171.56341435185</v>
      </c>
      <c r="C833" t="n">
        <v>1</v>
      </c>
      <c r="D833" t="n">
        <v>1</v>
      </c>
      <c r="E833" t="s">
        <v>844</v>
      </c>
      <c r="F833" t="s"/>
      <c r="G833" t="s"/>
      <c r="H833" t="s"/>
      <c r="I833" t="s"/>
      <c r="J833" t="n">
        <v>0</v>
      </c>
      <c r="K833" t="n">
        <v>0</v>
      </c>
      <c r="L833" t="n">
        <v>1</v>
      </c>
      <c r="M833" t="n">
        <v>0</v>
      </c>
    </row>
    <row r="834" spans="1:13">
      <c r="A834" s="1">
        <f>HYPERLINK("http://www.twitter.com/NathanBLawrence/status/973188751626293249", "973188751626293249")</f>
        <v/>
      </c>
      <c r="B834" s="2" t="n">
        <v>43171.56081018518</v>
      </c>
      <c r="C834" t="n">
        <v>0</v>
      </c>
      <c r="D834" t="n">
        <v>0</v>
      </c>
      <c r="E834" t="s">
        <v>845</v>
      </c>
      <c r="F834" t="s"/>
      <c r="G834" t="s"/>
      <c r="H834" t="s"/>
      <c r="I834" t="s"/>
      <c r="J834" t="n">
        <v>0</v>
      </c>
      <c r="K834" t="n">
        <v>0</v>
      </c>
      <c r="L834" t="n">
        <v>1</v>
      </c>
      <c r="M834" t="n">
        <v>0</v>
      </c>
    </row>
    <row r="835" spans="1:13">
      <c r="A835" s="1">
        <f>HYPERLINK("http://www.twitter.com/NathanBLawrence/status/973179716248244224", "973179716248244224")</f>
        <v/>
      </c>
      <c r="B835" s="2" t="n">
        <v>43171.53586805556</v>
      </c>
      <c r="C835" t="n">
        <v>1</v>
      </c>
      <c r="D835" t="n">
        <v>0</v>
      </c>
      <c r="E835" t="s">
        <v>846</v>
      </c>
      <c r="F835" t="s"/>
      <c r="G835" t="s"/>
      <c r="H835" t="s"/>
      <c r="I835" t="s"/>
      <c r="J835" t="n">
        <v>0</v>
      </c>
      <c r="K835" t="n">
        <v>0</v>
      </c>
      <c r="L835" t="n">
        <v>1</v>
      </c>
      <c r="M835" t="n">
        <v>0</v>
      </c>
    </row>
    <row r="836" spans="1:13">
      <c r="A836" s="1">
        <f>HYPERLINK("http://www.twitter.com/NathanBLawrence/status/973169555706204160", "973169555706204160")</f>
        <v/>
      </c>
      <c r="B836" s="2" t="n">
        <v>43171.50783564815</v>
      </c>
      <c r="C836" t="n">
        <v>2</v>
      </c>
      <c r="D836" t="n">
        <v>0</v>
      </c>
      <c r="E836" t="s">
        <v>847</v>
      </c>
      <c r="F836" t="s"/>
      <c r="G836" t="s"/>
      <c r="H836" t="s"/>
      <c r="I836" t="s"/>
      <c r="J836" t="n">
        <v>0.7067</v>
      </c>
      <c r="K836" t="n">
        <v>0</v>
      </c>
      <c r="L836" t="n">
        <v>0.6929999999999999</v>
      </c>
      <c r="M836" t="n">
        <v>0.307</v>
      </c>
    </row>
    <row r="837" spans="1:13">
      <c r="A837" s="1">
        <f>HYPERLINK("http://www.twitter.com/NathanBLawrence/status/973022148121022465", "973022148121022465")</f>
        <v/>
      </c>
      <c r="B837" s="2" t="n">
        <v>43171.10106481481</v>
      </c>
      <c r="C837" t="n">
        <v>0</v>
      </c>
      <c r="D837" t="n">
        <v>0</v>
      </c>
      <c r="E837" t="s">
        <v>848</v>
      </c>
      <c r="F837" t="s"/>
      <c r="G837" t="s"/>
      <c r="H837" t="s"/>
      <c r="I837" t="s"/>
      <c r="J837" t="n">
        <v>0.6249</v>
      </c>
      <c r="K837" t="n">
        <v>0</v>
      </c>
      <c r="L837" t="n">
        <v>0.594</v>
      </c>
      <c r="M837" t="n">
        <v>0.406</v>
      </c>
    </row>
    <row r="838" spans="1:13">
      <c r="A838" s="1">
        <f>HYPERLINK("http://www.twitter.com/NathanBLawrence/status/973016690274525186", "973016690274525186")</f>
        <v/>
      </c>
      <c r="B838" s="2" t="n">
        <v>43171.08600694445</v>
      </c>
      <c r="C838" t="n">
        <v>0</v>
      </c>
      <c r="D838" t="n">
        <v>11</v>
      </c>
      <c r="E838" t="s">
        <v>849</v>
      </c>
      <c r="F838" t="s"/>
      <c r="G838" t="s"/>
      <c r="H838" t="s"/>
      <c r="I838" t="s"/>
      <c r="J838" t="n">
        <v>0</v>
      </c>
      <c r="K838" t="n">
        <v>0</v>
      </c>
      <c r="L838" t="n">
        <v>1</v>
      </c>
      <c r="M838" t="n">
        <v>0</v>
      </c>
    </row>
    <row r="839" spans="1:13">
      <c r="A839" s="1">
        <f>HYPERLINK("http://www.twitter.com/NathanBLawrence/status/972852715754786816", "972852715754786816")</f>
        <v/>
      </c>
      <c r="B839" s="2" t="n">
        <v>43170.63351851852</v>
      </c>
      <c r="C839" t="n">
        <v>0</v>
      </c>
      <c r="D839" t="n">
        <v>0</v>
      </c>
      <c r="E839" t="s">
        <v>850</v>
      </c>
      <c r="F839" t="s"/>
      <c r="G839" t="s"/>
      <c r="H839" t="s"/>
      <c r="I839" t="s"/>
      <c r="J839" t="n">
        <v>0</v>
      </c>
      <c r="K839" t="n">
        <v>0</v>
      </c>
      <c r="L839" t="n">
        <v>1</v>
      </c>
      <c r="M839" t="n">
        <v>0</v>
      </c>
    </row>
    <row r="840" spans="1:13">
      <c r="A840" s="1">
        <f>HYPERLINK("http://www.twitter.com/NathanBLawrence/status/972697286185816065", "972697286185816065")</f>
        <v/>
      </c>
      <c r="B840" s="2" t="n">
        <v>43170.20461805556</v>
      </c>
      <c r="C840" t="n">
        <v>1</v>
      </c>
      <c r="D840" t="n">
        <v>0</v>
      </c>
      <c r="E840" t="s">
        <v>851</v>
      </c>
      <c r="F840" t="s"/>
      <c r="G840" t="s"/>
      <c r="H840" t="s"/>
      <c r="I840" t="s"/>
      <c r="J840" t="n">
        <v>0.7866</v>
      </c>
      <c r="K840" t="n">
        <v>0</v>
      </c>
      <c r="L840" t="n">
        <v>0.5649999999999999</v>
      </c>
      <c r="M840" t="n">
        <v>0.435</v>
      </c>
    </row>
    <row r="841" spans="1:13">
      <c r="A841" s="1">
        <f>HYPERLINK("http://www.twitter.com/NathanBLawrence/status/972598046679863296", "972598046679863296")</f>
        <v/>
      </c>
      <c r="B841" s="2" t="n">
        <v>43169.93076388889</v>
      </c>
      <c r="C841" t="n">
        <v>0</v>
      </c>
      <c r="D841" t="n">
        <v>0</v>
      </c>
      <c r="E841" t="s">
        <v>852</v>
      </c>
      <c r="F841" t="s"/>
      <c r="G841" t="s"/>
      <c r="H841" t="s"/>
      <c r="I841" t="s"/>
      <c r="J841" t="n">
        <v>-0.644</v>
      </c>
      <c r="K841" t="n">
        <v>0.467</v>
      </c>
      <c r="L841" t="n">
        <v>0.533</v>
      </c>
      <c r="M841" t="n">
        <v>0</v>
      </c>
    </row>
    <row r="842" spans="1:13">
      <c r="A842" s="1">
        <f>HYPERLINK("http://www.twitter.com/NathanBLawrence/status/972596778171322373", "972596778171322373")</f>
        <v/>
      </c>
      <c r="B842" s="2" t="n">
        <v>43169.92726851852</v>
      </c>
      <c r="C842" t="n">
        <v>0</v>
      </c>
      <c r="D842" t="n">
        <v>2</v>
      </c>
      <c r="E842" t="s">
        <v>853</v>
      </c>
      <c r="F842" t="s"/>
      <c r="G842" t="s"/>
      <c r="H842" t="s"/>
      <c r="I842" t="s"/>
      <c r="J842" t="n">
        <v>0.0258</v>
      </c>
      <c r="K842" t="n">
        <v>0</v>
      </c>
      <c r="L842" t="n">
        <v>0.909</v>
      </c>
      <c r="M842" t="n">
        <v>0.091</v>
      </c>
    </row>
    <row r="843" spans="1:13">
      <c r="A843" s="1">
        <f>HYPERLINK("http://www.twitter.com/NathanBLawrence/status/972595390993305600", "972595390993305600")</f>
        <v/>
      </c>
      <c r="B843" s="2" t="n">
        <v>43169.9234375</v>
      </c>
      <c r="C843" t="n">
        <v>0</v>
      </c>
      <c r="D843" t="n">
        <v>1303</v>
      </c>
      <c r="E843" t="s">
        <v>854</v>
      </c>
      <c r="F843">
        <f>HYPERLINK("http://pbs.twimg.com/media/DTv0rfBWAAAQJUP.jpg", "http://pbs.twimg.com/media/DTv0rfBWAAAQJUP.jpg")</f>
        <v/>
      </c>
      <c r="G843" t="s"/>
      <c r="H843" t="s"/>
      <c r="I843" t="s"/>
      <c r="J843" t="n">
        <v>-0.4939</v>
      </c>
      <c r="K843" t="n">
        <v>0.199</v>
      </c>
      <c r="L843" t="n">
        <v>0.709</v>
      </c>
      <c r="M843" t="n">
        <v>0.091</v>
      </c>
    </row>
    <row r="844" spans="1:13">
      <c r="A844" s="1">
        <f>HYPERLINK("http://www.twitter.com/NathanBLawrence/status/972527096546414592", "972527096546414592")</f>
        <v/>
      </c>
      <c r="B844" s="2" t="n">
        <v>43169.73498842592</v>
      </c>
      <c r="C844" t="n">
        <v>0</v>
      </c>
      <c r="D844" t="n">
        <v>7</v>
      </c>
      <c r="E844" t="s">
        <v>855</v>
      </c>
      <c r="F844" t="s"/>
      <c r="G844" t="s"/>
      <c r="H844" t="s"/>
      <c r="I844" t="s"/>
      <c r="J844" t="n">
        <v>0</v>
      </c>
      <c r="K844" t="n">
        <v>0</v>
      </c>
      <c r="L844" t="n">
        <v>1</v>
      </c>
      <c r="M844" t="n">
        <v>0</v>
      </c>
    </row>
    <row r="845" spans="1:13">
      <c r="A845" s="1">
        <f>HYPERLINK("http://www.twitter.com/NathanBLawrence/status/972527034281988097", "972527034281988097")</f>
        <v/>
      </c>
      <c r="B845" s="2" t="n">
        <v>43169.73481481482</v>
      </c>
      <c r="C845" t="n">
        <v>0</v>
      </c>
      <c r="D845" t="n">
        <v>7</v>
      </c>
      <c r="E845" t="s">
        <v>856</v>
      </c>
      <c r="F845" t="s"/>
      <c r="G845" t="s"/>
      <c r="H845" t="s"/>
      <c r="I845" t="s"/>
      <c r="J845" t="n">
        <v>0.3182</v>
      </c>
      <c r="K845" t="n">
        <v>0.113</v>
      </c>
      <c r="L845" t="n">
        <v>0.764</v>
      </c>
      <c r="M845" t="n">
        <v>0.123</v>
      </c>
    </row>
    <row r="846" spans="1:13">
      <c r="A846" s="1">
        <f>HYPERLINK("http://www.twitter.com/NathanBLawrence/status/972521546593046528", "972521546593046528")</f>
        <v/>
      </c>
      <c r="B846" s="2" t="n">
        <v>43169.71966435185</v>
      </c>
      <c r="C846" t="n">
        <v>0</v>
      </c>
      <c r="D846" t="n">
        <v>0</v>
      </c>
      <c r="E846" t="s">
        <v>857</v>
      </c>
      <c r="F846" t="s"/>
      <c r="G846" t="s"/>
      <c r="H846" t="s"/>
      <c r="I846" t="s"/>
      <c r="J846" t="n">
        <v>0.431</v>
      </c>
      <c r="K846" t="n">
        <v>0</v>
      </c>
      <c r="L846" t="n">
        <v>0.805</v>
      </c>
      <c r="M846" t="n">
        <v>0.195</v>
      </c>
    </row>
    <row r="847" spans="1:13">
      <c r="A847" s="1">
        <f>HYPERLINK("http://www.twitter.com/NathanBLawrence/status/972520047557177344", "972520047557177344")</f>
        <v/>
      </c>
      <c r="B847" s="2" t="n">
        <v>43169.7155324074</v>
      </c>
      <c r="C847" t="n">
        <v>0</v>
      </c>
      <c r="D847" t="n">
        <v>0</v>
      </c>
      <c r="E847" t="s">
        <v>858</v>
      </c>
      <c r="F847" t="s"/>
      <c r="G847" t="s"/>
      <c r="H847" t="s"/>
      <c r="I847" t="s"/>
      <c r="J847" t="n">
        <v>0.5526</v>
      </c>
      <c r="K847" t="n">
        <v>0</v>
      </c>
      <c r="L847" t="n">
        <v>0.457</v>
      </c>
      <c r="M847" t="n">
        <v>0.543</v>
      </c>
    </row>
    <row r="848" spans="1:13">
      <c r="A848" s="1">
        <f>HYPERLINK("http://www.twitter.com/NathanBLawrence/status/972510880230494208", "972510880230494208")</f>
        <v/>
      </c>
      <c r="B848" s="2" t="n">
        <v>43169.69023148148</v>
      </c>
      <c r="C848" t="n">
        <v>2</v>
      </c>
      <c r="D848" t="n">
        <v>2</v>
      </c>
      <c r="E848" t="s">
        <v>859</v>
      </c>
      <c r="F848" t="s"/>
      <c r="G848" t="s"/>
      <c r="H848" t="s"/>
      <c r="I848" t="s"/>
      <c r="J848" t="n">
        <v>0.743</v>
      </c>
      <c r="K848" t="n">
        <v>0</v>
      </c>
      <c r="L848" t="n">
        <v>0.488</v>
      </c>
      <c r="M848" t="n">
        <v>0.512</v>
      </c>
    </row>
    <row r="849" spans="1:13">
      <c r="A849" s="1">
        <f>HYPERLINK("http://www.twitter.com/NathanBLawrence/status/972323146635333632", "972323146635333632")</f>
        <v/>
      </c>
      <c r="B849" s="2" t="n">
        <v>43169.1721875</v>
      </c>
      <c r="C849" t="n">
        <v>0</v>
      </c>
      <c r="D849" t="n">
        <v>0</v>
      </c>
      <c r="E849" t="s">
        <v>860</v>
      </c>
      <c r="F849" t="s"/>
      <c r="G849" t="s"/>
      <c r="H849" t="s"/>
      <c r="I849" t="s"/>
      <c r="J849" t="n">
        <v>0</v>
      </c>
      <c r="K849" t="n">
        <v>0.201</v>
      </c>
      <c r="L849" t="n">
        <v>0.598</v>
      </c>
      <c r="M849" t="n">
        <v>0.201</v>
      </c>
    </row>
    <row r="850" spans="1:13">
      <c r="A850" s="1">
        <f>HYPERLINK("http://www.twitter.com/NathanBLawrence/status/972322663845769216", "972322663845769216")</f>
        <v/>
      </c>
      <c r="B850" s="2" t="n">
        <v>43169.17085648148</v>
      </c>
      <c r="C850" t="n">
        <v>0</v>
      </c>
      <c r="D850" t="n">
        <v>0</v>
      </c>
      <c r="E850" t="s">
        <v>861</v>
      </c>
      <c r="F850" t="s"/>
      <c r="G850" t="s"/>
      <c r="H850" t="s"/>
      <c r="I850" t="s"/>
      <c r="J850" t="n">
        <v>0.4168</v>
      </c>
      <c r="K850" t="n">
        <v>0</v>
      </c>
      <c r="L850" t="n">
        <v>0.783</v>
      </c>
      <c r="M850" t="n">
        <v>0.217</v>
      </c>
    </row>
    <row r="851" spans="1:13">
      <c r="A851" s="1">
        <f>HYPERLINK("http://www.twitter.com/NathanBLawrence/status/972321703857672192", "972321703857672192")</f>
        <v/>
      </c>
      <c r="B851" s="2" t="n">
        <v>43169.16820601852</v>
      </c>
      <c r="C851" t="n">
        <v>1</v>
      </c>
      <c r="D851" t="n">
        <v>0</v>
      </c>
      <c r="E851" t="s">
        <v>862</v>
      </c>
      <c r="F851" t="s"/>
      <c r="G851" t="s"/>
      <c r="H851" t="s"/>
      <c r="I851" t="s"/>
      <c r="J851" t="n">
        <v>0</v>
      </c>
      <c r="K851" t="n">
        <v>0</v>
      </c>
      <c r="L851" t="n">
        <v>1</v>
      </c>
      <c r="M851" t="n">
        <v>0</v>
      </c>
    </row>
    <row r="852" spans="1:13">
      <c r="A852" s="1">
        <f>HYPERLINK("http://www.twitter.com/NathanBLawrence/status/972321100012105728", "972321100012105728")</f>
        <v/>
      </c>
      <c r="B852" s="2" t="n">
        <v>43169.16653935185</v>
      </c>
      <c r="C852" t="n">
        <v>1</v>
      </c>
      <c r="D852" t="n">
        <v>0</v>
      </c>
      <c r="E852" t="s">
        <v>863</v>
      </c>
      <c r="F852" t="s"/>
      <c r="G852" t="s"/>
      <c r="H852" t="s"/>
      <c r="I852" t="s"/>
      <c r="J852" t="n">
        <v>0.6369</v>
      </c>
      <c r="K852" t="n">
        <v>0</v>
      </c>
      <c r="L852" t="n">
        <v>0.704</v>
      </c>
      <c r="M852" t="n">
        <v>0.296</v>
      </c>
    </row>
    <row r="853" spans="1:13">
      <c r="A853" s="1">
        <f>HYPERLINK("http://www.twitter.com/NathanBLawrence/status/972320843434024962", "972320843434024962")</f>
        <v/>
      </c>
      <c r="B853" s="2" t="n">
        <v>43169.16583333333</v>
      </c>
      <c r="C853" t="n">
        <v>0</v>
      </c>
      <c r="D853" t="n">
        <v>0</v>
      </c>
      <c r="E853" t="s">
        <v>864</v>
      </c>
      <c r="F853" t="s"/>
      <c r="G853" t="s"/>
      <c r="H853" t="s"/>
      <c r="I853" t="s"/>
      <c r="J853" t="n">
        <v>0</v>
      </c>
      <c r="K853" t="n">
        <v>0</v>
      </c>
      <c r="L853" t="n">
        <v>1</v>
      </c>
      <c r="M853" t="n">
        <v>0</v>
      </c>
    </row>
    <row r="854" spans="1:13">
      <c r="A854" s="1">
        <f>HYPERLINK("http://www.twitter.com/NathanBLawrence/status/972318010470957056", "972318010470957056")</f>
        <v/>
      </c>
      <c r="B854" s="2" t="n">
        <v>43169.15802083333</v>
      </c>
      <c r="C854" t="n">
        <v>2</v>
      </c>
      <c r="D854" t="n">
        <v>1</v>
      </c>
      <c r="E854" t="s">
        <v>865</v>
      </c>
      <c r="F854" t="s"/>
      <c r="G854" t="s"/>
      <c r="H854" t="s"/>
      <c r="I854" t="s"/>
      <c r="J854" t="n">
        <v>-0.8661</v>
      </c>
      <c r="K854" t="n">
        <v>0.35</v>
      </c>
      <c r="L854" t="n">
        <v>0.65</v>
      </c>
      <c r="M854" t="n">
        <v>0</v>
      </c>
    </row>
    <row r="855" spans="1:13">
      <c r="A855" s="1">
        <f>HYPERLINK("http://www.twitter.com/NathanBLawrence/status/972317210034221056", "972317210034221056")</f>
        <v/>
      </c>
      <c r="B855" s="2" t="n">
        <v>43169.15581018518</v>
      </c>
      <c r="C855" t="n">
        <v>0</v>
      </c>
      <c r="D855" t="n">
        <v>0</v>
      </c>
      <c r="E855" t="s">
        <v>866</v>
      </c>
      <c r="F855" t="s"/>
      <c r="G855" t="s"/>
      <c r="H855" t="s"/>
      <c r="I855" t="s"/>
      <c r="J855" t="n">
        <v>-0.7717000000000001</v>
      </c>
      <c r="K855" t="n">
        <v>0.243</v>
      </c>
      <c r="L855" t="n">
        <v>0.757</v>
      </c>
      <c r="M855" t="n">
        <v>0</v>
      </c>
    </row>
    <row r="856" spans="1:13">
      <c r="A856" s="1">
        <f>HYPERLINK("http://www.twitter.com/NathanBLawrence/status/972316074011185152", "972316074011185152")</f>
        <v/>
      </c>
      <c r="B856" s="2" t="n">
        <v>43169.15267361111</v>
      </c>
      <c r="C856" t="n">
        <v>3</v>
      </c>
      <c r="D856" t="n">
        <v>5</v>
      </c>
      <c r="E856" t="s">
        <v>867</v>
      </c>
      <c r="F856" t="s"/>
      <c r="G856" t="s"/>
      <c r="H856" t="s"/>
      <c r="I856" t="s"/>
      <c r="J856" t="n">
        <v>0</v>
      </c>
      <c r="K856" t="n">
        <v>0</v>
      </c>
      <c r="L856" t="n">
        <v>1</v>
      </c>
      <c r="M856" t="n">
        <v>0</v>
      </c>
    </row>
    <row r="857" spans="1:13">
      <c r="A857" s="1">
        <f>HYPERLINK("http://www.twitter.com/NathanBLawrence/status/972315434136555520", "972315434136555520")</f>
        <v/>
      </c>
      <c r="B857" s="2" t="n">
        <v>43169.15090277778</v>
      </c>
      <c r="C857" t="n">
        <v>2</v>
      </c>
      <c r="D857" t="n">
        <v>0</v>
      </c>
      <c r="E857" t="s">
        <v>868</v>
      </c>
      <c r="F857" t="s"/>
      <c r="G857" t="s"/>
      <c r="H857" t="s"/>
      <c r="I857" t="s"/>
      <c r="J857" t="n">
        <v>0.3182</v>
      </c>
      <c r="K857" t="n">
        <v>0</v>
      </c>
      <c r="L857" t="n">
        <v>0.753</v>
      </c>
      <c r="M857" t="n">
        <v>0.247</v>
      </c>
    </row>
    <row r="858" spans="1:13">
      <c r="A858" s="1">
        <f>HYPERLINK("http://www.twitter.com/NathanBLawrence/status/972282767835844608", "972282767835844608")</f>
        <v/>
      </c>
      <c r="B858" s="2" t="n">
        <v>43169.06076388889</v>
      </c>
      <c r="C858" t="n">
        <v>1</v>
      </c>
      <c r="D858" t="n">
        <v>1</v>
      </c>
      <c r="E858" t="s">
        <v>869</v>
      </c>
      <c r="F858" t="s"/>
      <c r="G858" t="s"/>
      <c r="H858" t="s"/>
      <c r="I858" t="s"/>
      <c r="J858" t="n">
        <v>0</v>
      </c>
      <c r="K858" t="n">
        <v>0</v>
      </c>
      <c r="L858" t="n">
        <v>1</v>
      </c>
      <c r="M858" t="n">
        <v>0</v>
      </c>
    </row>
    <row r="859" spans="1:13">
      <c r="A859" s="1">
        <f>HYPERLINK("http://www.twitter.com/NathanBLawrence/status/972282139785023489", "972282139785023489")</f>
        <v/>
      </c>
      <c r="B859" s="2" t="n">
        <v>43169.05902777778</v>
      </c>
      <c r="C859" t="n">
        <v>0</v>
      </c>
      <c r="D859" t="n">
        <v>11</v>
      </c>
      <c r="E859" t="s">
        <v>870</v>
      </c>
      <c r="F859" t="s"/>
      <c r="G859" t="s"/>
      <c r="H859" t="s"/>
      <c r="I859" t="s"/>
      <c r="J859" t="n">
        <v>0.5574</v>
      </c>
      <c r="K859" t="n">
        <v>0</v>
      </c>
      <c r="L859" t="n">
        <v>0.787</v>
      </c>
      <c r="M859" t="n">
        <v>0.213</v>
      </c>
    </row>
    <row r="860" spans="1:13">
      <c r="A860" s="1">
        <f>HYPERLINK("http://www.twitter.com/NathanBLawrence/status/972281943705440256", "972281943705440256")</f>
        <v/>
      </c>
      <c r="B860" s="2" t="n">
        <v>43169.05849537037</v>
      </c>
      <c r="C860" t="n">
        <v>3</v>
      </c>
      <c r="D860" t="n">
        <v>0</v>
      </c>
      <c r="E860" t="s">
        <v>871</v>
      </c>
      <c r="F860" t="s"/>
      <c r="G860" t="s"/>
      <c r="H860" t="s"/>
      <c r="I860" t="s"/>
      <c r="J860" t="n">
        <v>0</v>
      </c>
      <c r="K860" t="n">
        <v>0</v>
      </c>
      <c r="L860" t="n">
        <v>1</v>
      </c>
      <c r="M860" t="n">
        <v>0</v>
      </c>
    </row>
    <row r="861" spans="1:13">
      <c r="A861" s="1">
        <f>HYPERLINK("http://www.twitter.com/NathanBLawrence/status/972281221651861504", "972281221651861504")</f>
        <v/>
      </c>
      <c r="B861" s="2" t="n">
        <v>43169.05650462963</v>
      </c>
      <c r="C861" t="n">
        <v>2</v>
      </c>
      <c r="D861" t="n">
        <v>2</v>
      </c>
      <c r="E861" t="s">
        <v>872</v>
      </c>
      <c r="F861" t="s"/>
      <c r="G861" t="s"/>
      <c r="H861" t="s"/>
      <c r="I861" t="s"/>
      <c r="J861" t="n">
        <v>0</v>
      </c>
      <c r="K861" t="n">
        <v>0</v>
      </c>
      <c r="L861" t="n">
        <v>1</v>
      </c>
      <c r="M861" t="n">
        <v>0</v>
      </c>
    </row>
    <row r="862" spans="1:13">
      <c r="A862" s="1">
        <f>HYPERLINK("http://www.twitter.com/NathanBLawrence/status/972269489327935488", "972269489327935488")</f>
        <v/>
      </c>
      <c r="B862" s="2" t="n">
        <v>43169.02412037037</v>
      </c>
      <c r="C862" t="n">
        <v>1</v>
      </c>
      <c r="D862" t="n">
        <v>0</v>
      </c>
      <c r="E862" t="s">
        <v>873</v>
      </c>
      <c r="F862" t="s"/>
      <c r="G862" t="s"/>
      <c r="H862" t="s"/>
      <c r="I862" t="s"/>
      <c r="J862" t="n">
        <v>0</v>
      </c>
      <c r="K862" t="n">
        <v>0</v>
      </c>
      <c r="L862" t="n">
        <v>1</v>
      </c>
      <c r="M862" t="n">
        <v>0</v>
      </c>
    </row>
    <row r="863" spans="1:13">
      <c r="A863" s="1">
        <f>HYPERLINK("http://www.twitter.com/NathanBLawrence/status/972257600938151936", "972257600938151936")</f>
        <v/>
      </c>
      <c r="B863" s="2" t="n">
        <v>43168.99131944445</v>
      </c>
      <c r="C863" t="n">
        <v>0</v>
      </c>
      <c r="D863" t="n">
        <v>4061</v>
      </c>
      <c r="E863" t="s">
        <v>874</v>
      </c>
      <c r="F863">
        <f>HYPERLINK("https://video.twimg.com/ext_tw_video/972236303717736448/pu/vid/720x1280/xPH9_neppo9nXi2d.mp4", "https://video.twimg.com/ext_tw_video/972236303717736448/pu/vid/720x1280/xPH9_neppo9nXi2d.mp4")</f>
        <v/>
      </c>
      <c r="G863" t="s"/>
      <c r="H863" t="s"/>
      <c r="I863" t="s"/>
      <c r="J863" t="n">
        <v>0.7351</v>
      </c>
      <c r="K863" t="n">
        <v>0</v>
      </c>
      <c r="L863" t="n">
        <v>0.617</v>
      </c>
      <c r="M863" t="n">
        <v>0.383</v>
      </c>
    </row>
    <row r="864" spans="1:13">
      <c r="A864" s="1">
        <f>HYPERLINK("http://www.twitter.com/NathanBLawrence/status/972221837252943872", "972221837252943872")</f>
        <v/>
      </c>
      <c r="B864" s="2" t="n">
        <v>43168.89262731482</v>
      </c>
      <c r="C864" t="n">
        <v>0</v>
      </c>
      <c r="D864" t="n">
        <v>4</v>
      </c>
      <c r="E864" t="s">
        <v>875</v>
      </c>
      <c r="F864" t="s"/>
      <c r="G864" t="s"/>
      <c r="H864" t="s"/>
      <c r="I864" t="s"/>
      <c r="J864" t="n">
        <v>-0.34</v>
      </c>
      <c r="K864" t="n">
        <v>0.094</v>
      </c>
      <c r="L864" t="n">
        <v>0.906</v>
      </c>
      <c r="M864" t="n">
        <v>0</v>
      </c>
    </row>
    <row r="865" spans="1:13">
      <c r="A865" s="1">
        <f>HYPERLINK("http://www.twitter.com/NathanBLawrence/status/972221801890762752", "972221801890762752")</f>
        <v/>
      </c>
      <c r="B865" s="2" t="n">
        <v>43168.89253472222</v>
      </c>
      <c r="C865" t="n">
        <v>20</v>
      </c>
      <c r="D865" t="n">
        <v>8</v>
      </c>
      <c r="E865" t="s">
        <v>876</v>
      </c>
      <c r="F865" t="s"/>
      <c r="G865" t="s"/>
      <c r="H865" t="s"/>
      <c r="I865" t="s"/>
      <c r="J865" t="n">
        <v>0.4005</v>
      </c>
      <c r="K865" t="n">
        <v>0.039</v>
      </c>
      <c r="L865" t="n">
        <v>0.845</v>
      </c>
      <c r="M865" t="n">
        <v>0.115</v>
      </c>
    </row>
    <row r="866" spans="1:13">
      <c r="A866" s="1">
        <f>HYPERLINK("http://www.twitter.com/NathanBLawrence/status/972212166286893056", "972212166286893056")</f>
        <v/>
      </c>
      <c r="B866" s="2" t="n">
        <v>43168.8659375</v>
      </c>
      <c r="C866" t="n">
        <v>0</v>
      </c>
      <c r="D866" t="n">
        <v>11</v>
      </c>
      <c r="E866" t="s">
        <v>877</v>
      </c>
      <c r="F866" t="s"/>
      <c r="G866" t="s"/>
      <c r="H866" t="s"/>
      <c r="I866" t="s"/>
      <c r="J866" t="n">
        <v>0</v>
      </c>
      <c r="K866" t="n">
        <v>0</v>
      </c>
      <c r="L866" t="n">
        <v>1</v>
      </c>
      <c r="M866" t="n">
        <v>0</v>
      </c>
    </row>
    <row r="867" spans="1:13">
      <c r="A867" s="1">
        <f>HYPERLINK("http://www.twitter.com/NathanBLawrence/status/972162340530552832", "972162340530552832")</f>
        <v/>
      </c>
      <c r="B867" s="2" t="n">
        <v>43168.72844907407</v>
      </c>
      <c r="C867" t="n">
        <v>0</v>
      </c>
      <c r="D867" t="n">
        <v>0</v>
      </c>
      <c r="E867" t="s">
        <v>878</v>
      </c>
      <c r="F867" t="s"/>
      <c r="G867" t="s"/>
      <c r="H867" t="s"/>
      <c r="I867" t="s"/>
      <c r="J867" t="n">
        <v>-0.296</v>
      </c>
      <c r="K867" t="n">
        <v>0.196</v>
      </c>
      <c r="L867" t="n">
        <v>0.804</v>
      </c>
      <c r="M867" t="n">
        <v>0</v>
      </c>
    </row>
    <row r="868" spans="1:13">
      <c r="A868" s="1">
        <f>HYPERLINK("http://www.twitter.com/NathanBLawrence/status/971964001952215045", "971964001952215045")</f>
        <v/>
      </c>
      <c r="B868" s="2" t="n">
        <v>43168.18113425926</v>
      </c>
      <c r="C868" t="n">
        <v>0</v>
      </c>
      <c r="D868" t="n">
        <v>0</v>
      </c>
      <c r="E868" t="s">
        <v>879</v>
      </c>
      <c r="F868" t="s"/>
      <c r="G868" t="s"/>
      <c r="H868" t="s"/>
      <c r="I868" t="s"/>
      <c r="J868" t="n">
        <v>0</v>
      </c>
      <c r="K868" t="n">
        <v>0</v>
      </c>
      <c r="L868" t="n">
        <v>1</v>
      </c>
      <c r="M868" t="n">
        <v>0</v>
      </c>
    </row>
    <row r="869" spans="1:13">
      <c r="A869" s="1">
        <f>HYPERLINK("http://www.twitter.com/NathanBLawrence/status/971950675188953089", "971950675188953089")</f>
        <v/>
      </c>
      <c r="B869" s="2" t="n">
        <v>43168.14436342593</v>
      </c>
      <c r="C869" t="n">
        <v>4</v>
      </c>
      <c r="D869" t="n">
        <v>2</v>
      </c>
      <c r="E869" t="s">
        <v>880</v>
      </c>
      <c r="F869" t="s"/>
      <c r="G869" t="s"/>
      <c r="H869" t="s"/>
      <c r="I869" t="s"/>
      <c r="J869" t="n">
        <v>0</v>
      </c>
      <c r="K869" t="n">
        <v>0</v>
      </c>
      <c r="L869" t="n">
        <v>1</v>
      </c>
      <c r="M869" t="n">
        <v>0</v>
      </c>
    </row>
    <row r="870" spans="1:13">
      <c r="A870" s="1">
        <f>HYPERLINK("http://www.twitter.com/NathanBLawrence/status/971948377150775296", "971948377150775296")</f>
        <v/>
      </c>
      <c r="B870" s="2" t="n">
        <v>43168.13802083334</v>
      </c>
      <c r="C870" t="n">
        <v>0</v>
      </c>
      <c r="D870" t="n">
        <v>8</v>
      </c>
      <c r="E870" t="s">
        <v>881</v>
      </c>
      <c r="F870" t="s"/>
      <c r="G870" t="s"/>
      <c r="H870" t="s"/>
      <c r="I870" t="s"/>
      <c r="J870" t="n">
        <v>-0.7564</v>
      </c>
      <c r="K870" t="n">
        <v>0.265</v>
      </c>
      <c r="L870" t="n">
        <v>0.735</v>
      </c>
      <c r="M870" t="n">
        <v>0</v>
      </c>
    </row>
    <row r="871" spans="1:13">
      <c r="A871" s="1">
        <f>HYPERLINK("http://www.twitter.com/NathanBLawrence/status/971911785803583488", "971911785803583488")</f>
        <v/>
      </c>
      <c r="B871" s="2" t="n">
        <v>43168.03704861111</v>
      </c>
      <c r="C871" t="n">
        <v>0</v>
      </c>
      <c r="D871" t="n">
        <v>0</v>
      </c>
      <c r="E871" t="s">
        <v>882</v>
      </c>
      <c r="F871" t="s"/>
      <c r="G871" t="s"/>
      <c r="H871" t="s"/>
      <c r="I871" t="s"/>
      <c r="J871" t="n">
        <v>0</v>
      </c>
      <c r="K871" t="n">
        <v>0</v>
      </c>
      <c r="L871" t="n">
        <v>1</v>
      </c>
      <c r="M871" t="n">
        <v>0</v>
      </c>
    </row>
    <row r="872" spans="1:13">
      <c r="A872" s="1">
        <f>HYPERLINK("http://www.twitter.com/NathanBLawrence/status/971861395678617600", "971861395678617600")</f>
        <v/>
      </c>
      <c r="B872" s="2" t="n">
        <v>43167.89799768518</v>
      </c>
      <c r="C872" t="n">
        <v>0</v>
      </c>
      <c r="D872" t="n">
        <v>0</v>
      </c>
      <c r="E872" t="s">
        <v>883</v>
      </c>
      <c r="F872" t="s"/>
      <c r="G872" t="s"/>
      <c r="H872" t="s"/>
      <c r="I872" t="s"/>
      <c r="J872" t="n">
        <v>0</v>
      </c>
      <c r="K872" t="n">
        <v>0</v>
      </c>
      <c r="L872" t="n">
        <v>1</v>
      </c>
      <c r="M872" t="n">
        <v>0</v>
      </c>
    </row>
    <row r="873" spans="1:13">
      <c r="A873" s="1">
        <f>HYPERLINK("http://www.twitter.com/NathanBLawrence/status/971838671426084867", "971838671426084867")</f>
        <v/>
      </c>
      <c r="B873" s="2" t="n">
        <v>43167.83528935185</v>
      </c>
      <c r="C873" t="n">
        <v>1</v>
      </c>
      <c r="D873" t="n">
        <v>0</v>
      </c>
      <c r="E873" t="s">
        <v>884</v>
      </c>
      <c r="F873" t="s"/>
      <c r="G873" t="s"/>
      <c r="H873" t="s"/>
      <c r="I873" t="s"/>
      <c r="J873" t="n">
        <v>0</v>
      </c>
      <c r="K873" t="n">
        <v>0</v>
      </c>
      <c r="L873" t="n">
        <v>1</v>
      </c>
      <c r="M873" t="n">
        <v>0</v>
      </c>
    </row>
    <row r="874" spans="1:13">
      <c r="A874" s="1">
        <f>HYPERLINK("http://www.twitter.com/NathanBLawrence/status/971810016574541825", "971810016574541825")</f>
        <v/>
      </c>
      <c r="B874" s="2" t="n">
        <v>43167.75621527778</v>
      </c>
      <c r="C874" t="n">
        <v>0</v>
      </c>
      <c r="D874" t="n">
        <v>0</v>
      </c>
      <c r="E874" t="s">
        <v>885</v>
      </c>
      <c r="F874" t="s"/>
      <c r="G874" t="s"/>
      <c r="H874" t="s"/>
      <c r="I874" t="s"/>
      <c r="J874" t="n">
        <v>0.128</v>
      </c>
      <c r="K874" t="n">
        <v>0.131</v>
      </c>
      <c r="L874" t="n">
        <v>0.71</v>
      </c>
      <c r="M874" t="n">
        <v>0.158</v>
      </c>
    </row>
    <row r="875" spans="1:13">
      <c r="A875" s="1">
        <f>HYPERLINK("http://www.twitter.com/NathanBLawrence/status/971562777331601408", "971562777331601408")</f>
        <v/>
      </c>
      <c r="B875" s="2" t="n">
        <v>43167.0739699074</v>
      </c>
      <c r="C875" t="n">
        <v>0</v>
      </c>
      <c r="D875" t="n">
        <v>4</v>
      </c>
      <c r="E875" t="s">
        <v>886</v>
      </c>
      <c r="F875" t="s"/>
      <c r="G875" t="s"/>
      <c r="H875" t="s"/>
      <c r="I875" t="s"/>
      <c r="J875" t="n">
        <v>0.7003</v>
      </c>
      <c r="K875" t="n">
        <v>0</v>
      </c>
      <c r="L875" t="n">
        <v>0.674</v>
      </c>
      <c r="M875" t="n">
        <v>0.326</v>
      </c>
    </row>
    <row r="876" spans="1:13">
      <c r="A876" s="1">
        <f>HYPERLINK("http://www.twitter.com/NathanBLawrence/status/971494741597671424", "971494741597671424")</f>
        <v/>
      </c>
      <c r="B876" s="2" t="n">
        <v>43166.88622685185</v>
      </c>
      <c r="C876" t="n">
        <v>0</v>
      </c>
      <c r="D876" t="n">
        <v>4030</v>
      </c>
      <c r="E876" t="s">
        <v>887</v>
      </c>
      <c r="F876">
        <f>HYPERLINK("http://pbs.twimg.com/media/DXtptL9X0AIZvUj.jpg", "http://pbs.twimg.com/media/DXtptL9X0AIZvUj.jpg")</f>
        <v/>
      </c>
      <c r="G876" t="s"/>
      <c r="H876" t="s"/>
      <c r="I876" t="s"/>
      <c r="J876" t="n">
        <v>-0.6249</v>
      </c>
      <c r="K876" t="n">
        <v>0.177</v>
      </c>
      <c r="L876" t="n">
        <v>0.823</v>
      </c>
      <c r="M876" t="n">
        <v>0</v>
      </c>
    </row>
    <row r="877" spans="1:13">
      <c r="A877" s="1">
        <f>HYPERLINK("http://www.twitter.com/NathanBLawrence/status/971232014597869569", "971232014597869569")</f>
        <v/>
      </c>
      <c r="B877" s="2" t="n">
        <v>43166.16123842593</v>
      </c>
      <c r="C877" t="n">
        <v>0</v>
      </c>
      <c r="D877" t="n">
        <v>0</v>
      </c>
      <c r="E877" t="s">
        <v>888</v>
      </c>
      <c r="F877" t="s"/>
      <c r="G877" t="s"/>
      <c r="H877" t="s"/>
      <c r="I877" t="s"/>
      <c r="J877" t="n">
        <v>0</v>
      </c>
      <c r="K877" t="n">
        <v>0</v>
      </c>
      <c r="L877" t="n">
        <v>1</v>
      </c>
      <c r="M877" t="n">
        <v>0</v>
      </c>
    </row>
    <row r="878" spans="1:13">
      <c r="A878" s="1">
        <f>HYPERLINK("http://www.twitter.com/NathanBLawrence/status/971230572436746247", "971230572436746247")</f>
        <v/>
      </c>
      <c r="B878" s="2" t="n">
        <v>43166.15725694445</v>
      </c>
      <c r="C878" t="n">
        <v>0</v>
      </c>
      <c r="D878" t="n">
        <v>212</v>
      </c>
      <c r="E878" t="s">
        <v>889</v>
      </c>
      <c r="F878" t="s"/>
      <c r="G878" t="s"/>
      <c r="H878" t="s"/>
      <c r="I878" t="s"/>
      <c r="J878" t="n">
        <v>0.7177</v>
      </c>
      <c r="K878" t="n">
        <v>0.105</v>
      </c>
      <c r="L878" t="n">
        <v>0.57</v>
      </c>
      <c r="M878" t="n">
        <v>0.324</v>
      </c>
    </row>
    <row r="879" spans="1:13">
      <c r="A879" s="1">
        <f>HYPERLINK("http://www.twitter.com/NathanBLawrence/status/971202383475826688", "971202383475826688")</f>
        <v/>
      </c>
      <c r="B879" s="2" t="n">
        <v>43166.07946759259</v>
      </c>
      <c r="C879" t="n">
        <v>0</v>
      </c>
      <c r="D879" t="n">
        <v>0</v>
      </c>
      <c r="E879" t="s">
        <v>890</v>
      </c>
      <c r="F879" t="s"/>
      <c r="G879" t="s"/>
      <c r="H879" t="s"/>
      <c r="I879" t="s"/>
      <c r="J879" t="n">
        <v>0</v>
      </c>
      <c r="K879" t="n">
        <v>0</v>
      </c>
      <c r="L879" t="n">
        <v>1</v>
      </c>
      <c r="M879" t="n">
        <v>0</v>
      </c>
    </row>
    <row r="880" spans="1:13">
      <c r="A880" s="1">
        <f>HYPERLINK("http://www.twitter.com/NathanBLawrence/status/971172221816397825", "971172221816397825")</f>
        <v/>
      </c>
      <c r="B880" s="2" t="n">
        <v>43165.99623842593</v>
      </c>
      <c r="C880" t="n">
        <v>8</v>
      </c>
      <c r="D880" t="n">
        <v>1</v>
      </c>
      <c r="E880" t="s">
        <v>891</v>
      </c>
      <c r="F880" t="s"/>
      <c r="G880" t="s"/>
      <c r="H880" t="s"/>
      <c r="I880" t="s"/>
      <c r="J880" t="n">
        <v>0</v>
      </c>
      <c r="K880" t="n">
        <v>0</v>
      </c>
      <c r="L880" t="n">
        <v>1</v>
      </c>
      <c r="M880" t="n">
        <v>0</v>
      </c>
    </row>
    <row r="881" spans="1:13">
      <c r="A881" s="1">
        <f>HYPERLINK("http://www.twitter.com/NathanBLawrence/status/970880408375185409", "970880408375185409")</f>
        <v/>
      </c>
      <c r="B881" s="2" t="n">
        <v>43165.19099537037</v>
      </c>
      <c r="C881" t="n">
        <v>6</v>
      </c>
      <c r="D881" t="n">
        <v>2</v>
      </c>
      <c r="E881" t="s">
        <v>892</v>
      </c>
      <c r="F881" t="s"/>
      <c r="G881" t="s"/>
      <c r="H881" t="s"/>
      <c r="I881" t="s"/>
      <c r="J881" t="n">
        <v>-0.89</v>
      </c>
      <c r="K881" t="n">
        <v>0.473</v>
      </c>
      <c r="L881" t="n">
        <v>0.527</v>
      </c>
      <c r="M881" t="n">
        <v>0</v>
      </c>
    </row>
    <row r="882" spans="1:13">
      <c r="A882" s="1">
        <f>HYPERLINK("http://www.twitter.com/NathanBLawrence/status/970878753785241600", "970878753785241600")</f>
        <v/>
      </c>
      <c r="B882" s="2" t="n">
        <v>43165.18642361111</v>
      </c>
      <c r="C882" t="n">
        <v>1</v>
      </c>
      <c r="D882" t="n">
        <v>0</v>
      </c>
      <c r="E882" t="s">
        <v>893</v>
      </c>
      <c r="F882" t="s"/>
      <c r="G882" t="s"/>
      <c r="H882" t="s"/>
      <c r="I882" t="s"/>
      <c r="J882" t="n">
        <v>0.5826</v>
      </c>
      <c r="K882" t="n">
        <v>0</v>
      </c>
      <c r="L882" t="n">
        <v>0.57</v>
      </c>
      <c r="M882" t="n">
        <v>0.43</v>
      </c>
    </row>
    <row r="883" spans="1:13">
      <c r="A883" s="1">
        <f>HYPERLINK("http://www.twitter.com/NathanBLawrence/status/970817538719473664", "970817538719473664")</f>
        <v/>
      </c>
      <c r="B883" s="2" t="n">
        <v>43165.0175</v>
      </c>
      <c r="C883" t="n">
        <v>0</v>
      </c>
      <c r="D883" t="n">
        <v>155</v>
      </c>
      <c r="E883" t="s">
        <v>894</v>
      </c>
      <c r="F883">
        <f>HYPERLINK("http://pbs.twimg.com/media/DXjxxZAVMAAMmG-.jpg", "http://pbs.twimg.com/media/DXjxxZAVMAAMmG-.jpg")</f>
        <v/>
      </c>
      <c r="G883" t="s"/>
      <c r="H883" t="s"/>
      <c r="I883" t="s"/>
      <c r="J883" t="n">
        <v>-0.4939</v>
      </c>
      <c r="K883" t="n">
        <v>0.167</v>
      </c>
      <c r="L883" t="n">
        <v>0.833</v>
      </c>
      <c r="M883" t="n">
        <v>0</v>
      </c>
    </row>
    <row r="884" spans="1:13">
      <c r="A884" s="1">
        <f>HYPERLINK("http://www.twitter.com/NathanBLawrence/status/970711485927362560", "970711485927362560")</f>
        <v/>
      </c>
      <c r="B884" s="2" t="n">
        <v>43164.72484953704</v>
      </c>
      <c r="C884" t="n">
        <v>2</v>
      </c>
      <c r="D884" t="n">
        <v>0</v>
      </c>
      <c r="E884" t="s">
        <v>895</v>
      </c>
      <c r="F884" t="s"/>
      <c r="G884" t="s"/>
      <c r="H884" t="s"/>
      <c r="I884" t="s"/>
      <c r="J884" t="n">
        <v>0.6249</v>
      </c>
      <c r="K884" t="n">
        <v>0</v>
      </c>
      <c r="L884" t="n">
        <v>0.76</v>
      </c>
      <c r="M884" t="n">
        <v>0.24</v>
      </c>
    </row>
    <row r="885" spans="1:13">
      <c r="A885" s="1">
        <f>HYPERLINK("http://www.twitter.com/NathanBLawrence/status/970496684353519616", "970496684353519616")</f>
        <v/>
      </c>
      <c r="B885" s="2" t="n">
        <v>43164.13211805555</v>
      </c>
      <c r="C885" t="n">
        <v>0</v>
      </c>
      <c r="D885" t="n">
        <v>0</v>
      </c>
      <c r="E885" t="s">
        <v>896</v>
      </c>
      <c r="F885" t="s"/>
      <c r="G885" t="s"/>
      <c r="H885" t="s"/>
      <c r="I885" t="s"/>
      <c r="J885" t="n">
        <v>0</v>
      </c>
      <c r="K885" t="n">
        <v>0.215</v>
      </c>
      <c r="L885" t="n">
        <v>0.57</v>
      </c>
      <c r="M885" t="n">
        <v>0.215</v>
      </c>
    </row>
    <row r="886" spans="1:13">
      <c r="A886" s="1">
        <f>HYPERLINK("http://www.twitter.com/NathanBLawrence/status/970428054538514434", "970428054538514434")</f>
        <v/>
      </c>
      <c r="B886" s="2" t="n">
        <v>43163.94273148148</v>
      </c>
      <c r="C886" t="n">
        <v>0</v>
      </c>
      <c r="D886" t="n">
        <v>0</v>
      </c>
      <c r="E886" t="s">
        <v>897</v>
      </c>
      <c r="F886" t="s"/>
      <c r="G886" t="s"/>
      <c r="H886" t="s"/>
      <c r="I886" t="s"/>
      <c r="J886" t="n">
        <v>0.4199</v>
      </c>
      <c r="K886" t="n">
        <v>0</v>
      </c>
      <c r="L886" t="n">
        <v>0.6820000000000001</v>
      </c>
      <c r="M886" t="n">
        <v>0.318</v>
      </c>
    </row>
    <row r="887" spans="1:13">
      <c r="A887" s="1">
        <f>HYPERLINK("http://www.twitter.com/NathanBLawrence/status/970409772464967681", "970409772464967681")</f>
        <v/>
      </c>
      <c r="B887" s="2" t="n">
        <v>43163.89228009259</v>
      </c>
      <c r="C887" t="n">
        <v>0</v>
      </c>
      <c r="D887" t="n">
        <v>0</v>
      </c>
      <c r="E887" t="s">
        <v>898</v>
      </c>
      <c r="F887" t="s"/>
      <c r="G887" t="s"/>
      <c r="H887" t="s"/>
      <c r="I887" t="s"/>
      <c r="J887" t="n">
        <v>0.4939</v>
      </c>
      <c r="K887" t="n">
        <v>0</v>
      </c>
      <c r="L887" t="n">
        <v>0.789</v>
      </c>
      <c r="M887" t="n">
        <v>0.211</v>
      </c>
    </row>
    <row r="888" spans="1:13">
      <c r="A888" s="1">
        <f>HYPERLINK("http://www.twitter.com/NathanBLawrence/status/970331844943196167", "970331844943196167")</f>
        <v/>
      </c>
      <c r="B888" s="2" t="n">
        <v>43163.67724537037</v>
      </c>
      <c r="C888" t="n">
        <v>0</v>
      </c>
      <c r="D888" t="n">
        <v>0</v>
      </c>
      <c r="E888" t="s">
        <v>899</v>
      </c>
      <c r="F888" t="s"/>
      <c r="G888" t="s"/>
      <c r="H888" t="s"/>
      <c r="I888" t="s"/>
      <c r="J888" t="n">
        <v>-0.6249</v>
      </c>
      <c r="K888" t="n">
        <v>0.339</v>
      </c>
      <c r="L888" t="n">
        <v>0.661</v>
      </c>
      <c r="M888" t="n">
        <v>0</v>
      </c>
    </row>
    <row r="889" spans="1:13">
      <c r="A889" s="1">
        <f>HYPERLINK("http://www.twitter.com/NathanBLawrence/status/970321249346969600", "970321249346969600")</f>
        <v/>
      </c>
      <c r="B889" s="2" t="n">
        <v>43163.64800925926</v>
      </c>
      <c r="C889" t="n">
        <v>3</v>
      </c>
      <c r="D889" t="n">
        <v>0</v>
      </c>
      <c r="E889" t="s">
        <v>900</v>
      </c>
      <c r="F889" t="s"/>
      <c r="G889" t="s"/>
      <c r="H889" t="s"/>
      <c r="I889" t="s"/>
      <c r="J889" t="n">
        <v>-0.34</v>
      </c>
      <c r="K889" t="n">
        <v>0.545</v>
      </c>
      <c r="L889" t="n">
        <v>0.455</v>
      </c>
      <c r="M889" t="n">
        <v>0</v>
      </c>
    </row>
    <row r="890" spans="1:13">
      <c r="A890" s="1">
        <f>HYPERLINK("http://www.twitter.com/NathanBLawrence/status/970320373748256769", "970320373748256769")</f>
        <v/>
      </c>
      <c r="B890" s="2" t="n">
        <v>43163.64559027777</v>
      </c>
      <c r="C890" t="n">
        <v>0</v>
      </c>
      <c r="D890" t="n">
        <v>0</v>
      </c>
      <c r="E890" t="s">
        <v>901</v>
      </c>
      <c r="F890" t="s"/>
      <c r="G890" t="s"/>
      <c r="H890" t="s"/>
      <c r="I890" t="s"/>
      <c r="J890" t="n">
        <v>-0.5526</v>
      </c>
      <c r="K890" t="n">
        <v>0.471</v>
      </c>
      <c r="L890" t="n">
        <v>0.529</v>
      </c>
      <c r="M890" t="n">
        <v>0</v>
      </c>
    </row>
    <row r="891" spans="1:13">
      <c r="A891" s="1">
        <f>HYPERLINK("http://www.twitter.com/NathanBLawrence/status/970312826828066817", "970312826828066817")</f>
        <v/>
      </c>
      <c r="B891" s="2" t="n">
        <v>43163.62476851852</v>
      </c>
      <c r="C891" t="n">
        <v>0</v>
      </c>
      <c r="D891" t="n">
        <v>0</v>
      </c>
      <c r="E891" t="s">
        <v>902</v>
      </c>
      <c r="F891" t="s"/>
      <c r="G891" t="s"/>
      <c r="H891" t="s"/>
      <c r="I891" t="s"/>
      <c r="J891" t="n">
        <v>0.4019</v>
      </c>
      <c r="K891" t="n">
        <v>0</v>
      </c>
      <c r="L891" t="n">
        <v>0.649</v>
      </c>
      <c r="M891" t="n">
        <v>0.351</v>
      </c>
    </row>
    <row r="892" spans="1:13">
      <c r="A892" s="1">
        <f>HYPERLINK("http://www.twitter.com/NathanBLawrence/status/970157292640460800", "970157292640460800")</f>
        <v/>
      </c>
      <c r="B892" s="2" t="n">
        <v>43163.19556712963</v>
      </c>
      <c r="C892" t="n">
        <v>1</v>
      </c>
      <c r="D892" t="n">
        <v>0</v>
      </c>
      <c r="E892" t="s">
        <v>903</v>
      </c>
      <c r="F892" t="s"/>
      <c r="G892" t="s"/>
      <c r="H892" t="s"/>
      <c r="I892" t="s"/>
      <c r="J892" t="n">
        <v>0</v>
      </c>
      <c r="K892" t="n">
        <v>0</v>
      </c>
      <c r="L892" t="n">
        <v>1</v>
      </c>
      <c r="M892" t="n">
        <v>0</v>
      </c>
    </row>
    <row r="893" spans="1:13">
      <c r="A893" s="1">
        <f>HYPERLINK("http://www.twitter.com/NathanBLawrence/status/970156511811993600", "970156511811993600")</f>
        <v/>
      </c>
      <c r="B893" s="2" t="n">
        <v>43163.19341435185</v>
      </c>
      <c r="C893" t="n">
        <v>0</v>
      </c>
      <c r="D893" t="n">
        <v>0</v>
      </c>
      <c r="E893" t="s">
        <v>904</v>
      </c>
      <c r="F893" t="s"/>
      <c r="G893" t="s"/>
      <c r="H893" t="s"/>
      <c r="I893" t="s"/>
      <c r="J893" t="n">
        <v>-0.34</v>
      </c>
      <c r="K893" t="n">
        <v>0.231</v>
      </c>
      <c r="L893" t="n">
        <v>0.769</v>
      </c>
      <c r="M893" t="n">
        <v>0</v>
      </c>
    </row>
    <row r="894" spans="1:13">
      <c r="A894" s="1">
        <f>HYPERLINK("http://www.twitter.com/NathanBLawrence/status/970151614148423680", "970151614148423680")</f>
        <v/>
      </c>
      <c r="B894" s="2" t="n">
        <v>43163.17990740741</v>
      </c>
      <c r="C894" t="n">
        <v>1</v>
      </c>
      <c r="D894" t="n">
        <v>0</v>
      </c>
      <c r="E894" t="s">
        <v>905</v>
      </c>
      <c r="F894" t="s"/>
      <c r="G894" t="s"/>
      <c r="H894" t="s"/>
      <c r="I894" t="s"/>
      <c r="J894" t="n">
        <v>0</v>
      </c>
      <c r="K894" t="n">
        <v>0</v>
      </c>
      <c r="L894" t="n">
        <v>1</v>
      </c>
      <c r="M894" t="n">
        <v>0</v>
      </c>
    </row>
    <row r="895" spans="1:13">
      <c r="A895" s="1">
        <f>HYPERLINK("http://www.twitter.com/NathanBLawrence/status/970150952325079040", "970150952325079040")</f>
        <v/>
      </c>
      <c r="B895" s="2" t="n">
        <v>43163.17807870371</v>
      </c>
      <c r="C895" t="n">
        <v>0</v>
      </c>
      <c r="D895" t="n">
        <v>0</v>
      </c>
      <c r="E895" t="s">
        <v>906</v>
      </c>
      <c r="F895" t="s"/>
      <c r="G895" t="s"/>
      <c r="H895" t="s"/>
      <c r="I895" t="s"/>
      <c r="J895" t="n">
        <v>0.6850000000000001</v>
      </c>
      <c r="K895" t="n">
        <v>0.165</v>
      </c>
      <c r="L895" t="n">
        <v>0.412</v>
      </c>
      <c r="M895" t="n">
        <v>0.423</v>
      </c>
    </row>
    <row r="896" spans="1:13">
      <c r="A896" s="1">
        <f>HYPERLINK("http://www.twitter.com/NathanBLawrence/status/970107947807313920", "970107947807313920")</f>
        <v/>
      </c>
      <c r="B896" s="2" t="n">
        <v>43163.05940972222</v>
      </c>
      <c r="C896" t="n">
        <v>2</v>
      </c>
      <c r="D896" t="n">
        <v>1</v>
      </c>
      <c r="E896" t="s">
        <v>907</v>
      </c>
      <c r="F896" t="s"/>
      <c r="G896" t="s"/>
      <c r="H896" t="s"/>
      <c r="I896" t="s"/>
      <c r="J896" t="n">
        <v>0</v>
      </c>
      <c r="K896" t="n">
        <v>0</v>
      </c>
      <c r="L896" t="n">
        <v>1</v>
      </c>
      <c r="M896" t="n">
        <v>0</v>
      </c>
    </row>
    <row r="897" spans="1:13">
      <c r="A897" s="1">
        <f>HYPERLINK("http://www.twitter.com/NathanBLawrence/status/969973407617085441", "969973407617085441")</f>
        <v/>
      </c>
      <c r="B897" s="2" t="n">
        <v>43162.68814814815</v>
      </c>
      <c r="C897" t="n">
        <v>0</v>
      </c>
      <c r="D897" t="n">
        <v>1</v>
      </c>
      <c r="E897" t="s">
        <v>908</v>
      </c>
      <c r="F897" t="s"/>
      <c r="G897" t="s"/>
      <c r="H897" t="s"/>
      <c r="I897" t="s"/>
      <c r="J897" t="n">
        <v>0.296</v>
      </c>
      <c r="K897" t="n">
        <v>0</v>
      </c>
      <c r="L897" t="n">
        <v>0.855</v>
      </c>
      <c r="M897" t="n">
        <v>0.145</v>
      </c>
    </row>
    <row r="898" spans="1:13">
      <c r="A898" s="1">
        <f>HYPERLINK("http://www.twitter.com/NathanBLawrence/status/969923481172348929", "969923481172348929")</f>
        <v/>
      </c>
      <c r="B898" s="2" t="n">
        <v>43162.55037037037</v>
      </c>
      <c r="C898" t="n">
        <v>0</v>
      </c>
      <c r="D898" t="n">
        <v>810</v>
      </c>
      <c r="E898" t="s">
        <v>909</v>
      </c>
      <c r="F898">
        <f>HYPERLINK("http://pbs.twimg.com/media/DXXb9tbUQAA5rG1.jpg", "http://pbs.twimg.com/media/DXXb9tbUQAA5rG1.jpg")</f>
        <v/>
      </c>
      <c r="G898" t="s"/>
      <c r="H898" t="s"/>
      <c r="I898" t="s"/>
      <c r="J898" t="n">
        <v>0.4574</v>
      </c>
      <c r="K898" t="n">
        <v>0</v>
      </c>
      <c r="L898" t="n">
        <v>0.8129999999999999</v>
      </c>
      <c r="M898" t="n">
        <v>0.187</v>
      </c>
    </row>
    <row r="899" spans="1:13">
      <c r="A899" s="1">
        <f>HYPERLINK("http://www.twitter.com/NathanBLawrence/status/969922380746428416", "969922380746428416")</f>
        <v/>
      </c>
      <c r="B899" s="2" t="n">
        <v>43162.54733796296</v>
      </c>
      <c r="C899" t="n">
        <v>0</v>
      </c>
      <c r="D899" t="n">
        <v>148</v>
      </c>
      <c r="E899" t="s">
        <v>910</v>
      </c>
      <c r="F899" t="s"/>
      <c r="G899" t="s"/>
      <c r="H899" t="s"/>
      <c r="I899" t="s"/>
      <c r="J899" t="n">
        <v>0.6808</v>
      </c>
      <c r="K899" t="n">
        <v>0.076</v>
      </c>
      <c r="L899" t="n">
        <v>0.662</v>
      </c>
      <c r="M899" t="n">
        <v>0.262</v>
      </c>
    </row>
    <row r="900" spans="1:13">
      <c r="A900" s="1">
        <f>HYPERLINK("http://www.twitter.com/NathanBLawrence/status/969773672759209984", "969773672759209984")</f>
        <v/>
      </c>
      <c r="B900" s="2" t="n">
        <v>43162.13697916667</v>
      </c>
      <c r="C900" t="n">
        <v>1</v>
      </c>
      <c r="D900" t="n">
        <v>0</v>
      </c>
      <c r="E900" t="s">
        <v>911</v>
      </c>
      <c r="F900" t="s"/>
      <c r="G900" t="s"/>
      <c r="H900" t="s"/>
      <c r="I900" t="s"/>
      <c r="J900" t="n">
        <v>0</v>
      </c>
      <c r="K900" t="n">
        <v>0</v>
      </c>
      <c r="L900" t="n">
        <v>1</v>
      </c>
      <c r="M900" t="n">
        <v>0</v>
      </c>
    </row>
    <row r="901" spans="1:13">
      <c r="A901" s="1">
        <f>HYPERLINK("http://www.twitter.com/NathanBLawrence/status/969739320276987904", "969739320276987904")</f>
        <v/>
      </c>
      <c r="B901" s="2" t="n">
        <v>43162.0421875</v>
      </c>
      <c r="C901" t="n">
        <v>1</v>
      </c>
      <c r="D901" t="n">
        <v>0</v>
      </c>
      <c r="E901" t="s">
        <v>912</v>
      </c>
      <c r="F901" t="s"/>
      <c r="G901" t="s"/>
      <c r="H901" t="s"/>
      <c r="I901" t="s"/>
      <c r="J901" t="n">
        <v>0</v>
      </c>
      <c r="K901" t="n">
        <v>0</v>
      </c>
      <c r="L901" t="n">
        <v>1</v>
      </c>
      <c r="M901" t="n">
        <v>0</v>
      </c>
    </row>
    <row r="902" spans="1:13">
      <c r="A902" s="1">
        <f>HYPERLINK("http://www.twitter.com/NathanBLawrence/status/969651003845959682", "969651003845959682")</f>
        <v/>
      </c>
      <c r="B902" s="2" t="n">
        <v>43161.79848379629</v>
      </c>
      <c r="C902" t="n">
        <v>0</v>
      </c>
      <c r="D902" t="n">
        <v>0</v>
      </c>
      <c r="E902" t="s">
        <v>913</v>
      </c>
      <c r="F902">
        <f>HYPERLINK("http://pbs.twimg.com/media/DXTkb_0V4AEVFD-.jpg", "http://pbs.twimg.com/media/DXTkb_0V4AEVFD-.jpg")</f>
        <v/>
      </c>
      <c r="G902" t="s"/>
      <c r="H902" t="s"/>
      <c r="I902" t="s"/>
      <c r="J902" t="n">
        <v>0.4939</v>
      </c>
      <c r="K902" t="n">
        <v>0</v>
      </c>
      <c r="L902" t="n">
        <v>0.802</v>
      </c>
      <c r="M902" t="n">
        <v>0.198</v>
      </c>
    </row>
    <row r="903" spans="1:13">
      <c r="A903" s="1">
        <f>HYPERLINK("http://www.twitter.com/NathanBLawrence/status/969408171096838149", "969408171096838149")</f>
        <v/>
      </c>
      <c r="B903" s="2" t="n">
        <v>43161.1283912037</v>
      </c>
      <c r="C903" t="n">
        <v>0</v>
      </c>
      <c r="D903" t="n">
        <v>6511</v>
      </c>
      <c r="E903" t="s">
        <v>914</v>
      </c>
      <c r="F903" t="s"/>
      <c r="G903" t="s"/>
      <c r="H903" t="s"/>
      <c r="I903" t="s"/>
      <c r="J903" t="n">
        <v>0.8074</v>
      </c>
      <c r="K903" t="n">
        <v>0</v>
      </c>
      <c r="L903" t="n">
        <v>0.696</v>
      </c>
      <c r="M903" t="n">
        <v>0.304</v>
      </c>
    </row>
    <row r="904" spans="1:13">
      <c r="A904" s="1">
        <f>HYPERLINK("http://www.twitter.com/NathanBLawrence/status/969320289275392002", "969320289275392002")</f>
        <v/>
      </c>
      <c r="B904" s="2" t="n">
        <v>43160.88587962963</v>
      </c>
      <c r="C904" t="n">
        <v>0</v>
      </c>
      <c r="D904" t="n">
        <v>0</v>
      </c>
      <c r="E904" t="s">
        <v>915</v>
      </c>
      <c r="F904" t="s"/>
      <c r="G904" t="s"/>
      <c r="H904" t="s"/>
      <c r="I904" t="s"/>
      <c r="J904" t="n">
        <v>0.25</v>
      </c>
      <c r="K904" t="n">
        <v>0</v>
      </c>
      <c r="L904" t="n">
        <v>0.867</v>
      </c>
      <c r="M904" t="n">
        <v>0.133</v>
      </c>
    </row>
    <row r="905" spans="1:13">
      <c r="A905" s="1">
        <f>HYPERLINK("http://www.twitter.com/NathanBLawrence/status/969213216382443520", "969213216382443520")</f>
        <v/>
      </c>
      <c r="B905" s="2" t="n">
        <v>43160.59041666667</v>
      </c>
      <c r="C905" t="n">
        <v>0</v>
      </c>
      <c r="D905" t="n">
        <v>0</v>
      </c>
      <c r="E905" t="s">
        <v>916</v>
      </c>
      <c r="F905" t="s"/>
      <c r="G905" t="s"/>
      <c r="H905" t="s"/>
      <c r="I905" t="s"/>
      <c r="J905" t="n">
        <v>0.2698</v>
      </c>
      <c r="K905" t="n">
        <v>0.095</v>
      </c>
      <c r="L905" t="n">
        <v>0.769</v>
      </c>
      <c r="M905" t="n">
        <v>0.136</v>
      </c>
    </row>
    <row r="906" spans="1:13">
      <c r="A906" s="1">
        <f>HYPERLINK("http://www.twitter.com/NathanBLawrence/status/969046340826214400", "969046340826214400")</f>
        <v/>
      </c>
      <c r="B906" s="2" t="n">
        <v>43160.12993055556</v>
      </c>
      <c r="C906" t="n">
        <v>0</v>
      </c>
      <c r="D906" t="n">
        <v>0</v>
      </c>
      <c r="E906" t="s">
        <v>917</v>
      </c>
      <c r="F906" t="s"/>
      <c r="G906" t="s"/>
      <c r="H906" t="s"/>
      <c r="I906" t="s"/>
      <c r="J906" t="n">
        <v>0.4567</v>
      </c>
      <c r="K906" t="n">
        <v>0</v>
      </c>
      <c r="L906" t="n">
        <v>0.819</v>
      </c>
      <c r="M906" t="n">
        <v>0.181</v>
      </c>
    </row>
    <row r="907" spans="1:13">
      <c r="A907" s="1">
        <f>HYPERLINK("http://www.twitter.com/NathanBLawrence/status/969042521421729792", "969042521421729792")</f>
        <v/>
      </c>
      <c r="B907" s="2" t="n">
        <v>43160.11938657407</v>
      </c>
      <c r="C907" t="n">
        <v>0</v>
      </c>
      <c r="D907" t="n">
        <v>0</v>
      </c>
      <c r="E907" t="s">
        <v>918</v>
      </c>
      <c r="F907" t="s"/>
      <c r="G907" t="s"/>
      <c r="H907" t="s"/>
      <c r="I907" t="s"/>
      <c r="J907" t="n">
        <v>0</v>
      </c>
      <c r="K907" t="n">
        <v>0</v>
      </c>
      <c r="L907" t="n">
        <v>1</v>
      </c>
      <c r="M907" t="n">
        <v>0</v>
      </c>
    </row>
    <row r="908" spans="1:13">
      <c r="A908" s="1">
        <f>HYPERLINK("http://www.twitter.com/NathanBLawrence/status/969042217204580353", "969042217204580353")</f>
        <v/>
      </c>
      <c r="B908" s="2" t="n">
        <v>43160.11855324074</v>
      </c>
      <c r="C908" t="n">
        <v>18</v>
      </c>
      <c r="D908" t="n">
        <v>15</v>
      </c>
      <c r="E908" t="s">
        <v>919</v>
      </c>
      <c r="F908" t="s"/>
      <c r="G908" t="s"/>
      <c r="H908" t="s"/>
      <c r="I908" t="s"/>
      <c r="J908" t="n">
        <v>0</v>
      </c>
      <c r="K908" t="n">
        <v>0</v>
      </c>
      <c r="L908" t="n">
        <v>1</v>
      </c>
      <c r="M908" t="n">
        <v>0</v>
      </c>
    </row>
    <row r="909" spans="1:13">
      <c r="A909" s="1">
        <f>HYPERLINK("http://www.twitter.com/NathanBLawrence/status/968994886295932928", "968994886295932928")</f>
        <v/>
      </c>
      <c r="B909" s="2" t="n">
        <v>43159.98793981481</v>
      </c>
      <c r="C909" t="n">
        <v>0</v>
      </c>
      <c r="D909" t="n">
        <v>0</v>
      </c>
      <c r="E909" t="s">
        <v>920</v>
      </c>
      <c r="F909" t="s"/>
      <c r="G909" t="s"/>
      <c r="H909" t="s"/>
      <c r="I909" t="s"/>
      <c r="J909" t="n">
        <v>0</v>
      </c>
      <c r="K909" t="n">
        <v>0</v>
      </c>
      <c r="L909" t="n">
        <v>1</v>
      </c>
      <c r="M909" t="n">
        <v>0</v>
      </c>
    </row>
    <row r="910" spans="1:13">
      <c r="A910" s="1">
        <f>HYPERLINK("http://www.twitter.com/NathanBLawrence/status/968989473181782016", "968989473181782016")</f>
        <v/>
      </c>
      <c r="B910" s="2" t="n">
        <v>43159.97300925926</v>
      </c>
      <c r="C910" t="n">
        <v>0</v>
      </c>
      <c r="D910" t="n">
        <v>0</v>
      </c>
      <c r="E910" t="s">
        <v>921</v>
      </c>
      <c r="F910" t="s"/>
      <c r="G910" t="s"/>
      <c r="H910" t="s"/>
      <c r="I910" t="s"/>
      <c r="J910" t="n">
        <v>0</v>
      </c>
      <c r="K910" t="n">
        <v>0</v>
      </c>
      <c r="L910" t="n">
        <v>1</v>
      </c>
      <c r="M910" t="n">
        <v>0</v>
      </c>
    </row>
    <row r="911" spans="1:13">
      <c r="A911" s="1">
        <f>HYPERLINK("http://www.twitter.com/NathanBLawrence/status/968926496709599232", "968926496709599232")</f>
        <v/>
      </c>
      <c r="B911" s="2" t="n">
        <v>43159.79922453704</v>
      </c>
      <c r="C911" t="n">
        <v>0</v>
      </c>
      <c r="D911" t="n">
        <v>0</v>
      </c>
      <c r="E911" t="s">
        <v>922</v>
      </c>
      <c r="F911" t="s"/>
      <c r="G911" t="s"/>
      <c r="H911" t="s"/>
      <c r="I911" t="s"/>
      <c r="J911" t="n">
        <v>0</v>
      </c>
      <c r="K911" t="n">
        <v>0</v>
      </c>
      <c r="L911" t="n">
        <v>1</v>
      </c>
      <c r="M911" t="n">
        <v>0</v>
      </c>
    </row>
    <row r="912" spans="1:13">
      <c r="A912" s="1">
        <f>HYPERLINK("http://www.twitter.com/NathanBLawrence/status/968925678514077696", "968925678514077696")</f>
        <v/>
      </c>
      <c r="B912" s="2" t="n">
        <v>43159.79696759259</v>
      </c>
      <c r="C912" t="n">
        <v>0</v>
      </c>
      <c r="D912" t="n">
        <v>0</v>
      </c>
      <c r="E912" t="s">
        <v>923</v>
      </c>
      <c r="F912" t="s"/>
      <c r="G912" t="s"/>
      <c r="H912" t="s"/>
      <c r="I912" t="s"/>
      <c r="J912" t="n">
        <v>0</v>
      </c>
      <c r="K912" t="n">
        <v>0.153</v>
      </c>
      <c r="L912" t="n">
        <v>0.694</v>
      </c>
      <c r="M912" t="n">
        <v>0.153</v>
      </c>
    </row>
    <row r="913" spans="1:13">
      <c r="A913" s="1">
        <f>HYPERLINK("http://www.twitter.com/NathanBLawrence/status/968910195266072576", "968910195266072576")</f>
        <v/>
      </c>
      <c r="B913" s="2" t="n">
        <v>43159.75423611111</v>
      </c>
      <c r="C913" t="n">
        <v>1</v>
      </c>
      <c r="D913" t="n">
        <v>0</v>
      </c>
      <c r="E913" t="s">
        <v>924</v>
      </c>
      <c r="F913" t="s"/>
      <c r="G913" t="s"/>
      <c r="H913" t="s"/>
      <c r="I913" t="s"/>
      <c r="J913" t="n">
        <v>0.6915</v>
      </c>
      <c r="K913" t="n">
        <v>0</v>
      </c>
      <c r="L913" t="n">
        <v>0.6909999999999999</v>
      </c>
      <c r="M913" t="n">
        <v>0.309</v>
      </c>
    </row>
    <row r="914" spans="1:13">
      <c r="A914" s="1">
        <f>HYPERLINK("http://www.twitter.com/NathanBLawrence/status/968903585013665793", "968903585013665793")</f>
        <v/>
      </c>
      <c r="B914" s="2" t="n">
        <v>43159.73599537037</v>
      </c>
      <c r="C914" t="n">
        <v>0</v>
      </c>
      <c r="D914" t="n">
        <v>0</v>
      </c>
      <c r="E914" t="s">
        <v>925</v>
      </c>
      <c r="F914" t="s"/>
      <c r="G914" t="s"/>
      <c r="H914" t="s"/>
      <c r="I914" t="s"/>
      <c r="J914" t="n">
        <v>0</v>
      </c>
      <c r="K914" t="n">
        <v>0</v>
      </c>
      <c r="L914" t="n">
        <v>1</v>
      </c>
      <c r="M914" t="n">
        <v>0</v>
      </c>
    </row>
    <row r="915" spans="1:13">
      <c r="A915" s="1">
        <f>HYPERLINK("http://www.twitter.com/NathanBLawrence/status/968899065328078848", "968899065328078848")</f>
        <v/>
      </c>
      <c r="B915" s="2" t="n">
        <v>43159.72353009259</v>
      </c>
      <c r="C915" t="n">
        <v>0</v>
      </c>
      <c r="D915" t="n">
        <v>0</v>
      </c>
      <c r="E915" t="s">
        <v>926</v>
      </c>
      <c r="F915" t="s"/>
      <c r="G915" t="s"/>
      <c r="H915" t="s"/>
      <c r="I915" t="s"/>
      <c r="J915" t="n">
        <v>0</v>
      </c>
      <c r="K915" t="n">
        <v>0</v>
      </c>
      <c r="L915" t="n">
        <v>1</v>
      </c>
      <c r="M915" t="n">
        <v>0</v>
      </c>
    </row>
    <row r="916" spans="1:13">
      <c r="A916" s="1">
        <f>HYPERLINK("http://www.twitter.com/NathanBLawrence/status/968896280343859200", "968896280343859200")</f>
        <v/>
      </c>
      <c r="B916" s="2" t="n">
        <v>43159.7158449074</v>
      </c>
      <c r="C916" t="n">
        <v>3</v>
      </c>
      <c r="D916" t="n">
        <v>1</v>
      </c>
      <c r="E916" t="s">
        <v>927</v>
      </c>
      <c r="F916" t="s"/>
      <c r="G916" t="s"/>
      <c r="H916" t="s"/>
      <c r="I916" t="s"/>
      <c r="J916" t="n">
        <v>0.5106000000000001</v>
      </c>
      <c r="K916" t="n">
        <v>0</v>
      </c>
      <c r="L916" t="n">
        <v>0.65</v>
      </c>
      <c r="M916" t="n">
        <v>0.35</v>
      </c>
    </row>
    <row r="917" spans="1:13">
      <c r="A917" s="1">
        <f>HYPERLINK("http://www.twitter.com/NathanBLawrence/status/968710035462344704", "968710035462344704")</f>
        <v/>
      </c>
      <c r="B917" s="2" t="n">
        <v>43159.20189814815</v>
      </c>
      <c r="C917" t="n">
        <v>3</v>
      </c>
      <c r="D917" t="n">
        <v>1</v>
      </c>
      <c r="E917" t="s">
        <v>928</v>
      </c>
      <c r="F917" t="s"/>
      <c r="G917" t="s"/>
      <c r="H917" t="s"/>
      <c r="I917" t="s"/>
      <c r="J917" t="n">
        <v>-0.6249</v>
      </c>
      <c r="K917" t="n">
        <v>0.127</v>
      </c>
      <c r="L917" t="n">
        <v>0.831</v>
      </c>
      <c r="M917" t="n">
        <v>0.042</v>
      </c>
    </row>
    <row r="918" spans="1:13">
      <c r="A918" s="1">
        <f>HYPERLINK("http://www.twitter.com/NathanBLawrence/status/968706559898419202", "968706559898419202")</f>
        <v/>
      </c>
      <c r="B918" s="2" t="n">
        <v>43159.19231481481</v>
      </c>
      <c r="C918" t="n">
        <v>0</v>
      </c>
      <c r="D918" t="n">
        <v>0</v>
      </c>
      <c r="E918" t="s">
        <v>929</v>
      </c>
      <c r="F918" t="s"/>
      <c r="G918" t="s"/>
      <c r="H918" t="s"/>
      <c r="I918" t="s"/>
      <c r="J918" t="n">
        <v>0.4291</v>
      </c>
      <c r="K918" t="n">
        <v>0</v>
      </c>
      <c r="L918" t="n">
        <v>0.796</v>
      </c>
      <c r="M918" t="n">
        <v>0.204</v>
      </c>
    </row>
    <row r="919" spans="1:13">
      <c r="A919" s="1">
        <f>HYPERLINK("http://www.twitter.com/NathanBLawrence/status/968694661681500161", "968694661681500161")</f>
        <v/>
      </c>
      <c r="B919" s="2" t="n">
        <v>43159.15947916666</v>
      </c>
      <c r="C919" t="n">
        <v>0</v>
      </c>
      <c r="D919" t="n">
        <v>162</v>
      </c>
      <c r="E919" t="s">
        <v>930</v>
      </c>
      <c r="F919" t="s"/>
      <c r="G919" t="s"/>
      <c r="H919" t="s"/>
      <c r="I919" t="s"/>
      <c r="J919" t="n">
        <v>-0.6486</v>
      </c>
      <c r="K919" t="n">
        <v>0.209</v>
      </c>
      <c r="L919" t="n">
        <v>0.791</v>
      </c>
      <c r="M919" t="n">
        <v>0</v>
      </c>
    </row>
    <row r="920" spans="1:13">
      <c r="A920" s="1">
        <f>HYPERLINK("http://www.twitter.com/NathanBLawrence/status/968679550736654336", "968679550736654336")</f>
        <v/>
      </c>
      <c r="B920" s="2" t="n">
        <v>43159.11777777778</v>
      </c>
      <c r="C920" t="n">
        <v>0</v>
      </c>
      <c r="D920" t="n">
        <v>0</v>
      </c>
      <c r="E920" t="s">
        <v>931</v>
      </c>
      <c r="F920" t="s"/>
      <c r="G920" t="s"/>
      <c r="H920" t="s"/>
      <c r="I920" t="s"/>
      <c r="J920" t="n">
        <v>0.8957000000000001</v>
      </c>
      <c r="K920" t="n">
        <v>0</v>
      </c>
      <c r="L920" t="n">
        <v>0.649</v>
      </c>
      <c r="M920" t="n">
        <v>0.351</v>
      </c>
    </row>
    <row r="921" spans="1:13">
      <c r="A921" s="1">
        <f>HYPERLINK("http://www.twitter.com/NathanBLawrence/status/968672028407554049", "968672028407554049")</f>
        <v/>
      </c>
      <c r="B921" s="2" t="n">
        <v>43159.09702546296</v>
      </c>
      <c r="C921" t="n">
        <v>0</v>
      </c>
      <c r="D921" t="n">
        <v>0</v>
      </c>
      <c r="E921" t="s">
        <v>932</v>
      </c>
      <c r="F921" t="s"/>
      <c r="G921" t="s"/>
      <c r="H921" t="s"/>
      <c r="I921" t="s"/>
      <c r="J921" t="n">
        <v>0</v>
      </c>
      <c r="K921" t="n">
        <v>0</v>
      </c>
      <c r="L921" t="n">
        <v>1</v>
      </c>
      <c r="M921" t="n">
        <v>0</v>
      </c>
    </row>
    <row r="922" spans="1:13">
      <c r="A922" s="1">
        <f>HYPERLINK("http://www.twitter.com/NathanBLawrence/status/968671818663055362", "968671818663055362")</f>
        <v/>
      </c>
      <c r="B922" s="2" t="n">
        <v>43159.09644675926</v>
      </c>
      <c r="C922" t="n">
        <v>0</v>
      </c>
      <c r="D922" t="n">
        <v>2</v>
      </c>
      <c r="E922" t="s">
        <v>933</v>
      </c>
      <c r="F922" t="s"/>
      <c r="G922" t="s"/>
      <c r="H922" t="s"/>
      <c r="I922" t="s"/>
      <c r="J922" t="n">
        <v>0</v>
      </c>
      <c r="K922" t="n">
        <v>0</v>
      </c>
      <c r="L922" t="n">
        <v>1</v>
      </c>
      <c r="M922" t="n">
        <v>0</v>
      </c>
    </row>
    <row r="923" spans="1:13">
      <c r="A923" s="1">
        <f>HYPERLINK("http://www.twitter.com/NathanBLawrence/status/968664477527937024", "968664477527937024")</f>
        <v/>
      </c>
      <c r="B923" s="2" t="n">
        <v>43159.07619212963</v>
      </c>
      <c r="C923" t="n">
        <v>0</v>
      </c>
      <c r="D923" t="n">
        <v>0</v>
      </c>
      <c r="E923" t="s">
        <v>934</v>
      </c>
      <c r="F923" t="s"/>
      <c r="G923" t="s"/>
      <c r="H923" t="s"/>
      <c r="I923" t="s"/>
      <c r="J923" t="n">
        <v>0</v>
      </c>
      <c r="K923" t="n">
        <v>0</v>
      </c>
      <c r="L923" t="n">
        <v>1</v>
      </c>
      <c r="M923" t="n">
        <v>0</v>
      </c>
    </row>
    <row r="924" spans="1:13">
      <c r="A924" s="1">
        <f>HYPERLINK("http://www.twitter.com/NathanBLawrence/status/968658019365027840", "968658019365027840")</f>
        <v/>
      </c>
      <c r="B924" s="2" t="n">
        <v>43159.05836805556</v>
      </c>
      <c r="C924" t="n">
        <v>0</v>
      </c>
      <c r="D924" t="n">
        <v>0</v>
      </c>
      <c r="E924" t="s">
        <v>935</v>
      </c>
      <c r="F924" t="s"/>
      <c r="G924" t="s"/>
      <c r="H924" t="s"/>
      <c r="I924" t="s"/>
      <c r="J924" t="n">
        <v>0</v>
      </c>
      <c r="K924" t="n">
        <v>0</v>
      </c>
      <c r="L924" t="n">
        <v>1</v>
      </c>
      <c r="M924" t="n">
        <v>0</v>
      </c>
    </row>
    <row r="925" spans="1:13">
      <c r="A925" s="1">
        <f>HYPERLINK("http://www.twitter.com/NathanBLawrence/status/968595431713275908", "968595431713275908")</f>
        <v/>
      </c>
      <c r="B925" s="2" t="n">
        <v>43158.88565972223</v>
      </c>
      <c r="C925" t="n">
        <v>0</v>
      </c>
      <c r="D925" t="n">
        <v>2</v>
      </c>
      <c r="E925" t="s">
        <v>936</v>
      </c>
      <c r="F925" t="s"/>
      <c r="G925" t="s"/>
      <c r="H925" t="s"/>
      <c r="I925" t="s"/>
      <c r="J925" t="n">
        <v>0.3612</v>
      </c>
      <c r="K925" t="n">
        <v>0</v>
      </c>
      <c r="L925" t="n">
        <v>0.902</v>
      </c>
      <c r="M925" t="n">
        <v>0.098</v>
      </c>
    </row>
    <row r="926" spans="1:13">
      <c r="A926" s="1">
        <f>HYPERLINK("http://www.twitter.com/NathanBLawrence/status/968584819339939841", "968584819339939841")</f>
        <v/>
      </c>
      <c r="B926" s="2" t="n">
        <v>43158.85637731481</v>
      </c>
      <c r="C926" t="n">
        <v>1</v>
      </c>
      <c r="D926" t="n">
        <v>0</v>
      </c>
      <c r="E926" t="s">
        <v>937</v>
      </c>
      <c r="F926" t="s"/>
      <c r="G926" t="s"/>
      <c r="H926" t="s"/>
      <c r="I926" t="s"/>
      <c r="J926" t="n">
        <v>0.2677</v>
      </c>
      <c r="K926" t="n">
        <v>0.11</v>
      </c>
      <c r="L926" t="n">
        <v>0.735</v>
      </c>
      <c r="M926" t="n">
        <v>0.154</v>
      </c>
    </row>
    <row r="927" spans="1:13">
      <c r="A927" s="1">
        <f>HYPERLINK("http://www.twitter.com/NathanBLawrence/status/968503522428932097", "968503522428932097")</f>
        <v/>
      </c>
      <c r="B927" s="2" t="n">
        <v>43158.63203703704</v>
      </c>
      <c r="C927" t="n">
        <v>0</v>
      </c>
      <c r="D927" t="n">
        <v>853</v>
      </c>
      <c r="E927" t="s">
        <v>938</v>
      </c>
      <c r="F927">
        <f>HYPERLINK("http://pbs.twimg.com/media/DXBBu6yXkAM0Jvh.jpg", "http://pbs.twimg.com/media/DXBBu6yXkAM0Jvh.jpg")</f>
        <v/>
      </c>
      <c r="G927" t="s"/>
      <c r="H927" t="s"/>
      <c r="I927" t="s"/>
      <c r="J927" t="n">
        <v>0.8118</v>
      </c>
      <c r="K927" t="n">
        <v>0</v>
      </c>
      <c r="L927" t="n">
        <v>0.709</v>
      </c>
      <c r="M927" t="n">
        <v>0.291</v>
      </c>
    </row>
    <row r="928" spans="1:13">
      <c r="A928" s="1">
        <f>HYPERLINK("http://www.twitter.com/NathanBLawrence/status/968477113815830528", "968477113815830528")</f>
        <v/>
      </c>
      <c r="B928" s="2" t="n">
        <v>43158.55916666667</v>
      </c>
      <c r="C928" t="n">
        <v>0</v>
      </c>
      <c r="D928" t="n">
        <v>0</v>
      </c>
      <c r="E928" t="s">
        <v>939</v>
      </c>
      <c r="F928" t="s"/>
      <c r="G928" t="s"/>
      <c r="H928" t="s"/>
      <c r="I928" t="s"/>
      <c r="J928" t="n">
        <v>0</v>
      </c>
      <c r="K928" t="n">
        <v>0</v>
      </c>
      <c r="L928" t="n">
        <v>1</v>
      </c>
      <c r="M928" t="n">
        <v>0</v>
      </c>
    </row>
    <row r="929" spans="1:13">
      <c r="A929" s="1">
        <f>HYPERLINK("http://www.twitter.com/NathanBLawrence/status/968475690218729472", "968475690218729472")</f>
        <v/>
      </c>
      <c r="B929" s="2" t="n">
        <v>43158.55523148148</v>
      </c>
      <c r="C929" t="n">
        <v>4</v>
      </c>
      <c r="D929" t="n">
        <v>2</v>
      </c>
      <c r="E929" t="s">
        <v>940</v>
      </c>
      <c r="F929" t="s"/>
      <c r="G929" t="s"/>
      <c r="H929" t="s"/>
      <c r="I929" t="s"/>
      <c r="J929" t="n">
        <v>-0.7184</v>
      </c>
      <c r="K929" t="n">
        <v>0.182</v>
      </c>
      <c r="L929" t="n">
        <v>0.8179999999999999</v>
      </c>
      <c r="M929" t="n">
        <v>0</v>
      </c>
    </row>
    <row r="930" spans="1:13">
      <c r="A930" s="1">
        <f>HYPERLINK("http://www.twitter.com/NathanBLawrence/status/968347533260083205", "968347533260083205")</f>
        <v/>
      </c>
      <c r="B930" s="2" t="n">
        <v>43158.20158564814</v>
      </c>
      <c r="C930" t="n">
        <v>0</v>
      </c>
      <c r="D930" t="n">
        <v>0</v>
      </c>
      <c r="E930" t="s">
        <v>941</v>
      </c>
      <c r="F930" t="s"/>
      <c r="G930" t="s"/>
      <c r="H930" t="s"/>
      <c r="I930" t="s"/>
      <c r="J930" t="n">
        <v>-0.7579</v>
      </c>
      <c r="K930" t="n">
        <v>0.371</v>
      </c>
      <c r="L930" t="n">
        <v>0.629</v>
      </c>
      <c r="M930" t="n">
        <v>0</v>
      </c>
    </row>
    <row r="931" spans="1:13">
      <c r="A931" s="1">
        <f>HYPERLINK("http://www.twitter.com/NathanBLawrence/status/968346701646966785", "968346701646966785")</f>
        <v/>
      </c>
      <c r="B931" s="2" t="n">
        <v>43158.19929398148</v>
      </c>
      <c r="C931" t="n">
        <v>0</v>
      </c>
      <c r="D931" t="n">
        <v>0</v>
      </c>
      <c r="E931" t="s">
        <v>942</v>
      </c>
      <c r="F931" t="s"/>
      <c r="G931" t="s"/>
      <c r="H931" t="s"/>
      <c r="I931" t="s"/>
      <c r="J931" t="n">
        <v>0.8401999999999999</v>
      </c>
      <c r="K931" t="n">
        <v>0.045</v>
      </c>
      <c r="L931" t="n">
        <v>0.72</v>
      </c>
      <c r="M931" t="n">
        <v>0.235</v>
      </c>
    </row>
    <row r="932" spans="1:13">
      <c r="A932" s="1">
        <f>HYPERLINK("http://www.twitter.com/NathanBLawrence/status/968298200380661763", "968298200380661763")</f>
        <v/>
      </c>
      <c r="B932" s="2" t="n">
        <v>43158.06545138889</v>
      </c>
      <c r="C932" t="n">
        <v>0</v>
      </c>
      <c r="D932" t="n">
        <v>0</v>
      </c>
      <c r="E932" t="s">
        <v>943</v>
      </c>
      <c r="F932" t="s"/>
      <c r="G932" t="s"/>
      <c r="H932" t="s"/>
      <c r="I932" t="s"/>
      <c r="J932" t="n">
        <v>0.3182</v>
      </c>
      <c r="K932" t="n">
        <v>0</v>
      </c>
      <c r="L932" t="n">
        <v>0.8129999999999999</v>
      </c>
      <c r="M932" t="n">
        <v>0.187</v>
      </c>
    </row>
    <row r="933" spans="1:13">
      <c r="A933" s="1">
        <f>HYPERLINK("http://www.twitter.com/NathanBLawrence/status/968296231419170816", "968296231419170816")</f>
        <v/>
      </c>
      <c r="B933" s="2" t="n">
        <v>43158.06002314815</v>
      </c>
      <c r="C933" t="n">
        <v>1</v>
      </c>
      <c r="D933" t="n">
        <v>0</v>
      </c>
      <c r="E933" t="s">
        <v>944</v>
      </c>
      <c r="F933" t="s"/>
      <c r="G933" t="s"/>
      <c r="H933" t="s"/>
      <c r="I933" t="s"/>
      <c r="J933" t="n">
        <v>0.3612</v>
      </c>
      <c r="K933" t="n">
        <v>0</v>
      </c>
      <c r="L933" t="n">
        <v>0.545</v>
      </c>
      <c r="M933" t="n">
        <v>0.455</v>
      </c>
    </row>
    <row r="934" spans="1:13">
      <c r="A934" s="1">
        <f>HYPERLINK("http://www.twitter.com/NathanBLawrence/status/968287187652538368", "968287187652538368")</f>
        <v/>
      </c>
      <c r="B934" s="2" t="n">
        <v>43158.03506944444</v>
      </c>
      <c r="C934" t="n">
        <v>0</v>
      </c>
      <c r="D934" t="n">
        <v>0</v>
      </c>
      <c r="E934" t="s">
        <v>945</v>
      </c>
      <c r="F934" t="s"/>
      <c r="G934" t="s"/>
      <c r="H934" t="s"/>
      <c r="I934" t="s"/>
      <c r="J934" t="n">
        <v>0.2732</v>
      </c>
      <c r="K934" t="n">
        <v>0</v>
      </c>
      <c r="L934" t="n">
        <v>0.84</v>
      </c>
      <c r="M934" t="n">
        <v>0.16</v>
      </c>
    </row>
    <row r="935" spans="1:13">
      <c r="A935" s="1">
        <f>HYPERLINK("http://www.twitter.com/NathanBLawrence/status/968284257696342016", "968284257696342016")</f>
        <v/>
      </c>
      <c r="B935" s="2" t="n">
        <v>43158.02697916667</v>
      </c>
      <c r="C935" t="n">
        <v>0</v>
      </c>
      <c r="D935" t="n">
        <v>0</v>
      </c>
      <c r="E935" t="s">
        <v>946</v>
      </c>
      <c r="F935" t="s"/>
      <c r="G935" t="s"/>
      <c r="H935" t="s"/>
      <c r="I935" t="s"/>
      <c r="J935" t="n">
        <v>0</v>
      </c>
      <c r="K935" t="n">
        <v>0</v>
      </c>
      <c r="L935" t="n">
        <v>1</v>
      </c>
      <c r="M935" t="n">
        <v>0</v>
      </c>
    </row>
    <row r="936" spans="1:13">
      <c r="A936" s="1">
        <f>HYPERLINK("http://www.twitter.com/NathanBLawrence/status/968281410883739651", "968281410883739651")</f>
        <v/>
      </c>
      <c r="B936" s="2" t="n">
        <v>43158.01912037037</v>
      </c>
      <c r="C936" t="n">
        <v>0</v>
      </c>
      <c r="D936" t="n">
        <v>7</v>
      </c>
      <c r="E936" t="s">
        <v>947</v>
      </c>
      <c r="F936">
        <f>HYPERLINK("http://pbs.twimg.com/media/DXAF-H2UMAAZibd.jpg", "http://pbs.twimg.com/media/DXAF-H2UMAAZibd.jpg")</f>
        <v/>
      </c>
      <c r="G936" t="s"/>
      <c r="H936" t="s"/>
      <c r="I936" t="s"/>
      <c r="J936" t="n">
        <v>0</v>
      </c>
      <c r="K936" t="n">
        <v>0</v>
      </c>
      <c r="L936" t="n">
        <v>1</v>
      </c>
      <c r="M936" t="n">
        <v>0</v>
      </c>
    </row>
    <row r="937" spans="1:13">
      <c r="A937" s="1">
        <f>HYPERLINK("http://www.twitter.com/NathanBLawrence/status/968265877278871553", "968265877278871553")</f>
        <v/>
      </c>
      <c r="B937" s="2" t="n">
        <v>43157.97626157408</v>
      </c>
      <c r="C937" t="n">
        <v>0</v>
      </c>
      <c r="D937" t="n">
        <v>1</v>
      </c>
      <c r="E937" t="s">
        <v>948</v>
      </c>
      <c r="F937" t="s"/>
      <c r="G937" t="s"/>
      <c r="H937" t="s"/>
      <c r="I937" t="s"/>
      <c r="J937" t="n">
        <v>-0.34</v>
      </c>
      <c r="K937" t="n">
        <v>0.103</v>
      </c>
      <c r="L937" t="n">
        <v>0.897</v>
      </c>
      <c r="M937" t="n">
        <v>0</v>
      </c>
    </row>
    <row r="938" spans="1:13">
      <c r="A938" s="1">
        <f>HYPERLINK("http://www.twitter.com/NathanBLawrence/status/968223334319222784", "968223334319222784")</f>
        <v/>
      </c>
      <c r="B938" s="2" t="n">
        <v>43157.85886574074</v>
      </c>
      <c r="C938" t="n">
        <v>0</v>
      </c>
      <c r="D938" t="n">
        <v>0</v>
      </c>
      <c r="E938" t="s">
        <v>949</v>
      </c>
      <c r="F938" t="s"/>
      <c r="G938" t="s"/>
      <c r="H938" t="s"/>
      <c r="I938" t="s"/>
      <c r="J938" t="n">
        <v>0</v>
      </c>
      <c r="K938" t="n">
        <v>0</v>
      </c>
      <c r="L938" t="n">
        <v>1</v>
      </c>
      <c r="M938" t="n">
        <v>0</v>
      </c>
    </row>
    <row r="939" spans="1:13">
      <c r="A939" s="1">
        <f>HYPERLINK("http://www.twitter.com/NathanBLawrence/status/968221152568111104", "968221152568111104")</f>
        <v/>
      </c>
      <c r="B939" s="2" t="n">
        <v>43157.85284722222</v>
      </c>
      <c r="C939" t="n">
        <v>0</v>
      </c>
      <c r="D939" t="n">
        <v>4</v>
      </c>
      <c r="E939" t="s">
        <v>950</v>
      </c>
      <c r="F939" t="s"/>
      <c r="G939" t="s"/>
      <c r="H939" t="s"/>
      <c r="I939" t="s"/>
      <c r="J939" t="n">
        <v>0.2263</v>
      </c>
      <c r="K939" t="n">
        <v>0</v>
      </c>
      <c r="L939" t="n">
        <v>0.905</v>
      </c>
      <c r="M939" t="n">
        <v>0.095</v>
      </c>
    </row>
    <row r="940" spans="1:13">
      <c r="A940" s="1">
        <f>HYPERLINK("http://www.twitter.com/NathanBLawrence/status/968201511250612224", "968201511250612224")</f>
        <v/>
      </c>
      <c r="B940" s="2" t="n">
        <v>43157.79864583333</v>
      </c>
      <c r="C940" t="n">
        <v>0</v>
      </c>
      <c r="D940" t="n">
        <v>1</v>
      </c>
      <c r="E940" t="s">
        <v>951</v>
      </c>
      <c r="F940" t="s"/>
      <c r="G940" t="s"/>
      <c r="H940" t="s"/>
      <c r="I940" t="s"/>
      <c r="J940" t="n">
        <v>-0.34</v>
      </c>
      <c r="K940" t="n">
        <v>0.155</v>
      </c>
      <c r="L940" t="n">
        <v>0.752</v>
      </c>
      <c r="M940" t="n">
        <v>0.093</v>
      </c>
    </row>
    <row r="941" spans="1:13">
      <c r="A941" s="1">
        <f>HYPERLINK("http://www.twitter.com/NathanBLawrence/status/968195438993174529", "968195438993174529")</f>
        <v/>
      </c>
      <c r="B941" s="2" t="n">
        <v>43157.78188657408</v>
      </c>
      <c r="C941" t="n">
        <v>0</v>
      </c>
      <c r="D941" t="n">
        <v>3348</v>
      </c>
      <c r="E941" t="s">
        <v>952</v>
      </c>
      <c r="F941" t="s"/>
      <c r="G941" t="s"/>
      <c r="H941" t="s"/>
      <c r="I941" t="s"/>
      <c r="J941" t="n">
        <v>-0.34</v>
      </c>
      <c r="K941" t="n">
        <v>0.099</v>
      </c>
      <c r="L941" t="n">
        <v>0.85</v>
      </c>
      <c r="M941" t="n">
        <v>0.051</v>
      </c>
    </row>
    <row r="942" spans="1:13">
      <c r="A942" s="1">
        <f>HYPERLINK("http://www.twitter.com/NathanBLawrence/status/968185425927000065", "968185425927000065")</f>
        <v/>
      </c>
      <c r="B942" s="2" t="n">
        <v>43157.75425925926</v>
      </c>
      <c r="C942" t="n">
        <v>0</v>
      </c>
      <c r="D942" t="n">
        <v>2633</v>
      </c>
      <c r="E942" t="s">
        <v>953</v>
      </c>
      <c r="F942" t="s"/>
      <c r="G942" t="s"/>
      <c r="H942" t="s"/>
      <c r="I942" t="s"/>
      <c r="J942" t="n">
        <v>-0.4767</v>
      </c>
      <c r="K942" t="n">
        <v>0.205</v>
      </c>
      <c r="L942" t="n">
        <v>0.6929999999999999</v>
      </c>
      <c r="M942" t="n">
        <v>0.102</v>
      </c>
    </row>
    <row r="943" spans="1:13">
      <c r="A943" s="1">
        <f>HYPERLINK("http://www.twitter.com/NathanBLawrence/status/968184402541936640", "968184402541936640")</f>
        <v/>
      </c>
      <c r="B943" s="2" t="n">
        <v>43157.75143518519</v>
      </c>
      <c r="C943" t="n">
        <v>0</v>
      </c>
      <c r="D943" t="n">
        <v>1274</v>
      </c>
      <c r="E943" t="s">
        <v>954</v>
      </c>
      <c r="F943" t="s"/>
      <c r="G943" t="s"/>
      <c r="H943" t="s"/>
      <c r="I943" t="s"/>
      <c r="J943" t="n">
        <v>0.0772</v>
      </c>
      <c r="K943" t="n">
        <v>0</v>
      </c>
      <c r="L943" t="n">
        <v>0.9419999999999999</v>
      </c>
      <c r="M943" t="n">
        <v>0.058</v>
      </c>
    </row>
    <row r="944" spans="1:13">
      <c r="A944" s="1">
        <f>HYPERLINK("http://www.twitter.com/NathanBLawrence/status/968142220166561792", "968142220166561792")</f>
        <v/>
      </c>
      <c r="B944" s="2" t="n">
        <v>43157.63503472223</v>
      </c>
      <c r="C944" t="n">
        <v>0</v>
      </c>
      <c r="D944" t="n">
        <v>0</v>
      </c>
      <c r="E944" t="s">
        <v>955</v>
      </c>
      <c r="F944" t="s"/>
      <c r="G944" t="s"/>
      <c r="H944" t="s"/>
      <c r="I944" t="s"/>
      <c r="J944" t="n">
        <v>0.6526</v>
      </c>
      <c r="K944" t="n">
        <v>0.054</v>
      </c>
      <c r="L944" t="n">
        <v>0.761</v>
      </c>
      <c r="M944" t="n">
        <v>0.185</v>
      </c>
    </row>
    <row r="945" spans="1:13">
      <c r="A945" s="1">
        <f>HYPERLINK("http://www.twitter.com/NathanBLawrence/status/968140186507993088", "968140186507993088")</f>
        <v/>
      </c>
      <c r="B945" s="2" t="n">
        <v>43157.6294212963</v>
      </c>
      <c r="C945" t="n">
        <v>0</v>
      </c>
      <c r="D945" t="n">
        <v>0</v>
      </c>
      <c r="E945" t="s">
        <v>956</v>
      </c>
      <c r="F945" t="s"/>
      <c r="G945" t="s"/>
      <c r="H945" t="s"/>
      <c r="I945" t="s"/>
      <c r="J945" t="n">
        <v>0.128</v>
      </c>
      <c r="K945" t="n">
        <v>0.207</v>
      </c>
      <c r="L945" t="n">
        <v>0.602</v>
      </c>
      <c r="M945" t="n">
        <v>0.191</v>
      </c>
    </row>
    <row r="946" spans="1:13">
      <c r="A946" s="1">
        <f>HYPERLINK("http://www.twitter.com/NathanBLawrence/status/967965606032142342", "967965606032142342")</f>
        <v/>
      </c>
      <c r="B946" s="2" t="n">
        <v>43157.14767361111</v>
      </c>
      <c r="C946" t="n">
        <v>0</v>
      </c>
      <c r="D946" t="n">
        <v>32</v>
      </c>
      <c r="E946" t="s">
        <v>957</v>
      </c>
      <c r="F946" t="s"/>
      <c r="G946" t="s"/>
      <c r="H946" t="s"/>
      <c r="I946" t="s"/>
      <c r="J946" t="n">
        <v>-0.2732</v>
      </c>
      <c r="K946" t="n">
        <v>0.165</v>
      </c>
      <c r="L946" t="n">
        <v>0.717</v>
      </c>
      <c r="M946" t="n">
        <v>0.118</v>
      </c>
    </row>
    <row r="947" spans="1:13">
      <c r="A947" s="1">
        <f>HYPERLINK("http://www.twitter.com/NathanBLawrence/status/967958135074906113", "967958135074906113")</f>
        <v/>
      </c>
      <c r="B947" s="2" t="n">
        <v>43157.12704861111</v>
      </c>
      <c r="C947" t="n">
        <v>0</v>
      </c>
      <c r="D947" t="n">
        <v>0</v>
      </c>
      <c r="E947" t="s">
        <v>958</v>
      </c>
      <c r="F947" t="s"/>
      <c r="G947" t="s"/>
      <c r="H947" t="s"/>
      <c r="I947" t="s"/>
      <c r="J947" t="n">
        <v>0</v>
      </c>
      <c r="K947" t="n">
        <v>0</v>
      </c>
      <c r="L947" t="n">
        <v>1</v>
      </c>
      <c r="M947" t="n">
        <v>0</v>
      </c>
    </row>
    <row r="948" spans="1:13">
      <c r="A948" s="1">
        <f>HYPERLINK("http://www.twitter.com/NathanBLawrence/status/967809216911237120", "967809216911237120")</f>
        <v/>
      </c>
      <c r="B948" s="2" t="n">
        <v>43156.71611111111</v>
      </c>
      <c r="C948" t="n">
        <v>0</v>
      </c>
      <c r="D948" t="n">
        <v>0</v>
      </c>
      <c r="E948" t="s">
        <v>959</v>
      </c>
      <c r="F948" t="s"/>
      <c r="G948" t="s"/>
      <c r="H948" t="s"/>
      <c r="I948" t="s"/>
      <c r="J948" t="n">
        <v>0</v>
      </c>
      <c r="K948" t="n">
        <v>0</v>
      </c>
      <c r="L948" t="n">
        <v>1</v>
      </c>
      <c r="M948" t="n">
        <v>0</v>
      </c>
    </row>
    <row r="949" spans="1:13">
      <c r="A949" s="1">
        <f>HYPERLINK("http://www.twitter.com/NathanBLawrence/status/967807000850653184", "967807000850653184")</f>
        <v/>
      </c>
      <c r="B949" s="2" t="n">
        <v>43156.71</v>
      </c>
      <c r="C949" t="n">
        <v>0</v>
      </c>
      <c r="D949" t="n">
        <v>598</v>
      </c>
      <c r="E949" t="s">
        <v>960</v>
      </c>
      <c r="F949" t="s"/>
      <c r="G949" t="s"/>
      <c r="H949" t="s"/>
      <c r="I949" t="s"/>
      <c r="J949" t="n">
        <v>-0.5622</v>
      </c>
      <c r="K949" t="n">
        <v>0.232</v>
      </c>
      <c r="L949" t="n">
        <v>0.768</v>
      </c>
      <c r="M949" t="n">
        <v>0</v>
      </c>
    </row>
    <row r="950" spans="1:13">
      <c r="A950" s="1">
        <f>HYPERLINK("http://www.twitter.com/NathanBLawrence/status/967785841761366019", "967785841761366019")</f>
        <v/>
      </c>
      <c r="B950" s="2" t="n">
        <v>43156.6516087963</v>
      </c>
      <c r="C950" t="n">
        <v>0</v>
      </c>
      <c r="D950" t="n">
        <v>0</v>
      </c>
      <c r="E950" t="s">
        <v>961</v>
      </c>
      <c r="F950" t="s"/>
      <c r="G950" t="s"/>
      <c r="H950" t="s"/>
      <c r="I950" t="s"/>
      <c r="J950" t="n">
        <v>0</v>
      </c>
      <c r="K950" t="n">
        <v>0</v>
      </c>
      <c r="L950" t="n">
        <v>1</v>
      </c>
      <c r="M950" t="n">
        <v>0</v>
      </c>
    </row>
    <row r="951" spans="1:13">
      <c r="A951" s="1">
        <f>HYPERLINK("http://www.twitter.com/NathanBLawrence/status/967785113630146566", "967785113630146566")</f>
        <v/>
      </c>
      <c r="B951" s="2" t="n">
        <v>43156.64960648148</v>
      </c>
      <c r="C951" t="n">
        <v>0</v>
      </c>
      <c r="D951" t="n">
        <v>0</v>
      </c>
      <c r="E951" t="s">
        <v>962</v>
      </c>
      <c r="F951" t="s"/>
      <c r="G951" t="s"/>
      <c r="H951" t="s"/>
      <c r="I951" t="s"/>
      <c r="J951" t="n">
        <v>0.4003</v>
      </c>
      <c r="K951" t="n">
        <v>0</v>
      </c>
      <c r="L951" t="n">
        <v>0.788</v>
      </c>
      <c r="M951" t="n">
        <v>0.212</v>
      </c>
    </row>
    <row r="952" spans="1:13">
      <c r="A952" s="1">
        <f>HYPERLINK("http://www.twitter.com/NathanBLawrence/status/967783044823339008", "967783044823339008")</f>
        <v/>
      </c>
      <c r="B952" s="2" t="n">
        <v>43156.64390046296</v>
      </c>
      <c r="C952" t="n">
        <v>0</v>
      </c>
      <c r="D952" t="n">
        <v>0</v>
      </c>
      <c r="E952" t="s">
        <v>963</v>
      </c>
      <c r="F952" t="s"/>
      <c r="G952" t="s"/>
      <c r="H952" t="s"/>
      <c r="I952" t="s"/>
      <c r="J952" t="n">
        <v>0.3612</v>
      </c>
      <c r="K952" t="n">
        <v>0.169</v>
      </c>
      <c r="L952" t="n">
        <v>0.482</v>
      </c>
      <c r="M952" t="n">
        <v>0.349</v>
      </c>
    </row>
    <row r="953" spans="1:13">
      <c r="A953" s="1">
        <f>HYPERLINK("http://www.twitter.com/NathanBLawrence/status/967780753881919494", "967780753881919494")</f>
        <v/>
      </c>
      <c r="B953" s="2" t="n">
        <v>43156.63756944444</v>
      </c>
      <c r="C953" t="n">
        <v>0</v>
      </c>
      <c r="D953" t="n">
        <v>0</v>
      </c>
      <c r="E953" t="s">
        <v>964</v>
      </c>
      <c r="F953" t="s"/>
      <c r="G953" t="s"/>
      <c r="H953" t="s"/>
      <c r="I953" t="s"/>
      <c r="J953" t="n">
        <v>0.1779</v>
      </c>
      <c r="K953" t="n">
        <v>0.113</v>
      </c>
      <c r="L953" t="n">
        <v>0.756</v>
      </c>
      <c r="M953" t="n">
        <v>0.131</v>
      </c>
    </row>
    <row r="954" spans="1:13">
      <c r="A954" s="1">
        <f>HYPERLINK("http://www.twitter.com/NathanBLawrence/status/967780067144339457", "967780067144339457")</f>
        <v/>
      </c>
      <c r="B954" s="2" t="n">
        <v>43156.63568287037</v>
      </c>
      <c r="C954" t="n">
        <v>0</v>
      </c>
      <c r="D954" t="n">
        <v>0</v>
      </c>
      <c r="E954" t="s">
        <v>965</v>
      </c>
      <c r="F954" t="s"/>
      <c r="G954" t="s"/>
      <c r="H954" t="s"/>
      <c r="I954" t="s"/>
      <c r="J954" t="n">
        <v>0.0258</v>
      </c>
      <c r="K954" t="n">
        <v>0.054</v>
      </c>
      <c r="L954" t="n">
        <v>0.889</v>
      </c>
      <c r="M954" t="n">
        <v>0.057</v>
      </c>
    </row>
    <row r="955" spans="1:13">
      <c r="A955" s="1">
        <f>HYPERLINK("http://www.twitter.com/NathanBLawrence/status/967629710502125568", "967629710502125568")</f>
        <v/>
      </c>
      <c r="B955" s="2" t="n">
        <v>43156.22077546296</v>
      </c>
      <c r="C955" t="n">
        <v>0</v>
      </c>
      <c r="D955" t="n">
        <v>0</v>
      </c>
      <c r="E955" t="s">
        <v>966</v>
      </c>
      <c r="F955" t="s"/>
      <c r="G955" t="s"/>
      <c r="H955" t="s"/>
      <c r="I955" t="s"/>
      <c r="J955" t="n">
        <v>0.4215</v>
      </c>
      <c r="K955" t="n">
        <v>0</v>
      </c>
      <c r="L955" t="n">
        <v>0.823</v>
      </c>
      <c r="M955" t="n">
        <v>0.177</v>
      </c>
    </row>
    <row r="956" spans="1:13">
      <c r="A956" s="1">
        <f>HYPERLINK("http://www.twitter.com/NathanBLawrence/status/967626067262492673", "967626067262492673")</f>
        <v/>
      </c>
      <c r="B956" s="2" t="n">
        <v>43156.21071759259</v>
      </c>
      <c r="C956" t="n">
        <v>0</v>
      </c>
      <c r="D956" t="n">
        <v>0</v>
      </c>
      <c r="E956" t="s">
        <v>967</v>
      </c>
      <c r="F956" t="s"/>
      <c r="G956" t="s"/>
      <c r="H956" t="s"/>
      <c r="I956" t="s"/>
      <c r="J956" t="n">
        <v>0.1867</v>
      </c>
      <c r="K956" t="n">
        <v>0.115</v>
      </c>
      <c r="L956" t="n">
        <v>0.706</v>
      </c>
      <c r="M956" t="n">
        <v>0.18</v>
      </c>
    </row>
    <row r="957" spans="1:13">
      <c r="A957" s="1">
        <f>HYPERLINK("http://www.twitter.com/NathanBLawrence/status/967618426641502208", "967618426641502208")</f>
        <v/>
      </c>
      <c r="B957" s="2" t="n">
        <v>43156.1896412037</v>
      </c>
      <c r="C957" t="n">
        <v>0</v>
      </c>
      <c r="D957" t="n">
        <v>0</v>
      </c>
      <c r="E957" t="s">
        <v>968</v>
      </c>
      <c r="F957" t="s"/>
      <c r="G957" t="s"/>
      <c r="H957" t="s"/>
      <c r="I957" t="s"/>
      <c r="J957" t="n">
        <v>0</v>
      </c>
      <c r="K957" t="n">
        <v>0</v>
      </c>
      <c r="L957" t="n">
        <v>1</v>
      </c>
      <c r="M957" t="n">
        <v>0</v>
      </c>
    </row>
    <row r="958" spans="1:13">
      <c r="A958" s="1">
        <f>HYPERLINK("http://www.twitter.com/NathanBLawrence/status/967616708771971082", "967616708771971082")</f>
        <v/>
      </c>
      <c r="B958" s="2" t="n">
        <v>43156.18489583334</v>
      </c>
      <c r="C958" t="n">
        <v>0</v>
      </c>
      <c r="D958" t="n">
        <v>0</v>
      </c>
      <c r="E958" t="s">
        <v>969</v>
      </c>
      <c r="F958" t="s"/>
      <c r="G958" t="s"/>
      <c r="H958" t="s"/>
      <c r="I958" t="s"/>
      <c r="J958" t="n">
        <v>-0.5859</v>
      </c>
      <c r="K958" t="n">
        <v>0.324</v>
      </c>
      <c r="L958" t="n">
        <v>0.676</v>
      </c>
      <c r="M958" t="n">
        <v>0</v>
      </c>
    </row>
    <row r="959" spans="1:13">
      <c r="A959" s="1">
        <f>HYPERLINK("http://www.twitter.com/NathanBLawrence/status/967588348247322624", "967588348247322624")</f>
        <v/>
      </c>
      <c r="B959" s="2" t="n">
        <v>43156.10663194444</v>
      </c>
      <c r="C959" t="n">
        <v>0</v>
      </c>
      <c r="D959" t="n">
        <v>0</v>
      </c>
      <c r="E959" t="s">
        <v>970</v>
      </c>
      <c r="F959" t="s"/>
      <c r="G959" t="s"/>
      <c r="H959" t="s"/>
      <c r="I959" t="s"/>
      <c r="J959" t="n">
        <v>-0.7003</v>
      </c>
      <c r="K959" t="n">
        <v>0.309</v>
      </c>
      <c r="L959" t="n">
        <v>0.6909999999999999</v>
      </c>
      <c r="M959" t="n">
        <v>0</v>
      </c>
    </row>
    <row r="960" spans="1:13">
      <c r="A960" s="1">
        <f>HYPERLINK("http://www.twitter.com/NathanBLawrence/status/967566124442439680", "967566124442439680")</f>
        <v/>
      </c>
      <c r="B960" s="2" t="n">
        <v>43156.0453125</v>
      </c>
      <c r="C960" t="n">
        <v>0</v>
      </c>
      <c r="D960" t="n">
        <v>0</v>
      </c>
      <c r="E960" t="s">
        <v>971</v>
      </c>
      <c r="F960" t="s"/>
      <c r="G960" t="s"/>
      <c r="H960" t="s"/>
      <c r="I960" t="s"/>
      <c r="J960" t="n">
        <v>0</v>
      </c>
      <c r="K960" t="n">
        <v>0</v>
      </c>
      <c r="L960" t="n">
        <v>1</v>
      </c>
      <c r="M960" t="n">
        <v>0</v>
      </c>
    </row>
    <row r="961" spans="1:13">
      <c r="A961" s="1">
        <f>HYPERLINK("http://www.twitter.com/NathanBLawrence/status/967550916852436997", "967550916852436997")</f>
        <v/>
      </c>
      <c r="B961" s="2" t="n">
        <v>43156.00334490741</v>
      </c>
      <c r="C961" t="n">
        <v>0</v>
      </c>
      <c r="D961" t="n">
        <v>522</v>
      </c>
      <c r="E961" t="s">
        <v>972</v>
      </c>
      <c r="F961">
        <f>HYPERLINK("http://pbs.twimg.com/media/DW1REVYXkAA5ZHB.jpg", "http://pbs.twimg.com/media/DW1REVYXkAA5ZHB.jpg")</f>
        <v/>
      </c>
      <c r="G961" t="s"/>
      <c r="H961" t="s"/>
      <c r="I961" t="s"/>
      <c r="J961" t="n">
        <v>-0.0847</v>
      </c>
      <c r="K961" t="n">
        <v>0.161</v>
      </c>
      <c r="L961" t="n">
        <v>0.732</v>
      </c>
      <c r="M961" t="n">
        <v>0.107</v>
      </c>
    </row>
    <row r="962" spans="1:13">
      <c r="A962" s="1">
        <f>HYPERLINK("http://www.twitter.com/NathanBLawrence/status/967547132600377344", "967547132600377344")</f>
        <v/>
      </c>
      <c r="B962" s="2" t="n">
        <v>43155.99290509259</v>
      </c>
      <c r="C962" t="n">
        <v>1</v>
      </c>
      <c r="D962" t="n">
        <v>0</v>
      </c>
      <c r="E962" t="s">
        <v>973</v>
      </c>
      <c r="F962" t="s"/>
      <c r="G962" t="s"/>
      <c r="H962" t="s"/>
      <c r="I962" t="s"/>
      <c r="J962" t="n">
        <v>0</v>
      </c>
      <c r="K962" t="n">
        <v>0</v>
      </c>
      <c r="L962" t="n">
        <v>1</v>
      </c>
      <c r="M962" t="n">
        <v>0</v>
      </c>
    </row>
    <row r="963" spans="1:13">
      <c r="A963" s="1">
        <f>HYPERLINK("http://www.twitter.com/NathanBLawrence/status/967542074286452742", "967542074286452742")</f>
        <v/>
      </c>
      <c r="B963" s="2" t="n">
        <v>43155.97894675926</v>
      </c>
      <c r="C963" t="n">
        <v>0</v>
      </c>
      <c r="D963" t="n">
        <v>20428</v>
      </c>
      <c r="E963" t="s">
        <v>974</v>
      </c>
      <c r="F963">
        <f>HYPERLINK("https://video.twimg.com/ext_tw_video/967084249353404416/pu/vid/1280x720/x_o-rUxD0lvrqoFv.mp4", "https://video.twimg.com/ext_tw_video/967084249353404416/pu/vid/1280x720/x_o-rUxD0lvrqoFv.mp4")</f>
        <v/>
      </c>
      <c r="G963" t="s"/>
      <c r="H963" t="s"/>
      <c r="I963" t="s"/>
      <c r="J963" t="n">
        <v>0.8056</v>
      </c>
      <c r="K963" t="n">
        <v>0.07199999999999999</v>
      </c>
      <c r="L963" t="n">
        <v>0.628</v>
      </c>
      <c r="M963" t="n">
        <v>0.3</v>
      </c>
    </row>
    <row r="964" spans="1:13">
      <c r="A964" s="1">
        <f>HYPERLINK("http://www.twitter.com/NathanBLawrence/status/967499200559796224", "967499200559796224")</f>
        <v/>
      </c>
      <c r="B964" s="2" t="n">
        <v>43155.86063657407</v>
      </c>
      <c r="C964" t="n">
        <v>0</v>
      </c>
      <c r="D964" t="n">
        <v>0</v>
      </c>
      <c r="E964" t="s">
        <v>975</v>
      </c>
      <c r="F964" t="s"/>
      <c r="G964" t="s"/>
      <c r="H964" t="s"/>
      <c r="I964" t="s"/>
      <c r="J964" t="n">
        <v>0</v>
      </c>
      <c r="K964" t="n">
        <v>0</v>
      </c>
      <c r="L964" t="n">
        <v>1</v>
      </c>
      <c r="M964" t="n">
        <v>0</v>
      </c>
    </row>
    <row r="965" spans="1:13">
      <c r="A965" s="1">
        <f>HYPERLINK("http://www.twitter.com/NathanBLawrence/status/967454129755959296", "967454129755959296")</f>
        <v/>
      </c>
      <c r="B965" s="2" t="n">
        <v>43155.73626157407</v>
      </c>
      <c r="C965" t="n">
        <v>0</v>
      </c>
      <c r="D965" t="n">
        <v>0</v>
      </c>
      <c r="E965" t="s">
        <v>976</v>
      </c>
      <c r="F965" t="s"/>
      <c r="G965" t="s"/>
      <c r="H965" t="s"/>
      <c r="I965" t="s"/>
      <c r="J965" t="n">
        <v>-0.7964</v>
      </c>
      <c r="K965" t="n">
        <v>0.236</v>
      </c>
      <c r="L965" t="n">
        <v>0.764</v>
      </c>
      <c r="M965" t="n">
        <v>0</v>
      </c>
    </row>
    <row r="966" spans="1:13">
      <c r="A966" s="1">
        <f>HYPERLINK("http://www.twitter.com/NathanBLawrence/status/967449788374568960", "967449788374568960")</f>
        <v/>
      </c>
      <c r="B966" s="2" t="n">
        <v>43155.72428240741</v>
      </c>
      <c r="C966" t="n">
        <v>5</v>
      </c>
      <c r="D966" t="n">
        <v>2</v>
      </c>
      <c r="E966" t="s">
        <v>977</v>
      </c>
      <c r="F966" t="s"/>
      <c r="G966" t="s"/>
      <c r="H966" t="s"/>
      <c r="I966" t="s"/>
      <c r="J966" t="n">
        <v>-0.34</v>
      </c>
      <c r="K966" t="n">
        <v>0.326</v>
      </c>
      <c r="L966" t="n">
        <v>0.455</v>
      </c>
      <c r="M966" t="n">
        <v>0.22</v>
      </c>
    </row>
    <row r="967" spans="1:13">
      <c r="A967" s="1">
        <f>HYPERLINK("http://www.twitter.com/NathanBLawrence/status/967449036658741248", "967449036658741248")</f>
        <v/>
      </c>
      <c r="B967" s="2" t="n">
        <v>43155.72221064815</v>
      </c>
      <c r="C967" t="n">
        <v>0</v>
      </c>
      <c r="D967" t="n">
        <v>0</v>
      </c>
      <c r="E967" t="s">
        <v>978</v>
      </c>
      <c r="F967" t="s"/>
      <c r="G967" t="s"/>
      <c r="H967" t="s"/>
      <c r="I967" t="s"/>
      <c r="J967" t="n">
        <v>0</v>
      </c>
      <c r="K967" t="n">
        <v>0</v>
      </c>
      <c r="L967" t="n">
        <v>1</v>
      </c>
      <c r="M967" t="n">
        <v>0</v>
      </c>
    </row>
    <row r="968" spans="1:13">
      <c r="A968" s="1">
        <f>HYPERLINK("http://www.twitter.com/NathanBLawrence/status/967443967259406336", "967443967259406336")</f>
        <v/>
      </c>
      <c r="B968" s="2" t="n">
        <v>43155.70821759259</v>
      </c>
      <c r="C968" t="n">
        <v>0</v>
      </c>
      <c r="D968" t="n">
        <v>0</v>
      </c>
      <c r="E968" t="s">
        <v>979</v>
      </c>
      <c r="F968" t="s"/>
      <c r="G968" t="s"/>
      <c r="H968" t="s"/>
      <c r="I968" t="s"/>
      <c r="J968" t="n">
        <v>0</v>
      </c>
      <c r="K968" t="n">
        <v>0</v>
      </c>
      <c r="L968" t="n">
        <v>1</v>
      </c>
      <c r="M968" t="n">
        <v>0</v>
      </c>
    </row>
    <row r="969" spans="1:13">
      <c r="A969" s="1">
        <f>HYPERLINK("http://www.twitter.com/NathanBLawrence/status/967196469852889088", "967196469852889088")</f>
        <v/>
      </c>
      <c r="B969" s="2" t="n">
        <v>43155.02525462963</v>
      </c>
      <c r="C969" t="n">
        <v>0</v>
      </c>
      <c r="D969" t="n">
        <v>0</v>
      </c>
      <c r="E969" t="s">
        <v>980</v>
      </c>
      <c r="F969" t="s"/>
      <c r="G969" t="s"/>
      <c r="H969" t="s"/>
      <c r="I969" t="s"/>
      <c r="J969" t="n">
        <v>0</v>
      </c>
      <c r="K969" t="n">
        <v>0</v>
      </c>
      <c r="L969" t="n">
        <v>1</v>
      </c>
      <c r="M969" t="n">
        <v>0</v>
      </c>
    </row>
    <row r="970" spans="1:13">
      <c r="A970" s="1">
        <f>HYPERLINK("http://www.twitter.com/NathanBLawrence/status/967145111644762112", "967145111644762112")</f>
        <v/>
      </c>
      <c r="B970" s="2" t="n">
        <v>43154.88353009259</v>
      </c>
      <c r="C970" t="n">
        <v>0</v>
      </c>
      <c r="D970" t="n">
        <v>2</v>
      </c>
      <c r="E970" t="s">
        <v>981</v>
      </c>
      <c r="F970" t="s"/>
      <c r="G970" t="s"/>
      <c r="H970" t="s"/>
      <c r="I970" t="s"/>
      <c r="J970" t="n">
        <v>0</v>
      </c>
      <c r="K970" t="n">
        <v>0</v>
      </c>
      <c r="L970" t="n">
        <v>1</v>
      </c>
      <c r="M970" t="n">
        <v>0</v>
      </c>
    </row>
    <row r="971" spans="1:13">
      <c r="A971" s="1">
        <f>HYPERLINK("http://www.twitter.com/NathanBLawrence/status/967118723860615168", "967118723860615168")</f>
        <v/>
      </c>
      <c r="B971" s="2" t="n">
        <v>43154.81071759259</v>
      </c>
      <c r="C971" t="n">
        <v>0</v>
      </c>
      <c r="D971" t="n">
        <v>10</v>
      </c>
      <c r="E971" t="s">
        <v>982</v>
      </c>
      <c r="F971" t="s"/>
      <c r="G971" t="s"/>
      <c r="H971" t="s"/>
      <c r="I971" t="s"/>
      <c r="J971" t="n">
        <v>-0.5106000000000001</v>
      </c>
      <c r="K971" t="n">
        <v>0.185</v>
      </c>
      <c r="L971" t="n">
        <v>0.8149999999999999</v>
      </c>
      <c r="M971" t="n">
        <v>0</v>
      </c>
    </row>
    <row r="972" spans="1:13">
      <c r="A972" s="1">
        <f>HYPERLINK("http://www.twitter.com/NathanBLawrence/status/967072627314581504", "967072627314581504")</f>
        <v/>
      </c>
      <c r="B972" s="2" t="n">
        <v>43154.68351851852</v>
      </c>
      <c r="C972" t="n">
        <v>0</v>
      </c>
      <c r="D972" t="n">
        <v>1</v>
      </c>
      <c r="E972" t="s">
        <v>983</v>
      </c>
      <c r="F972" t="s"/>
      <c r="G972" t="s"/>
      <c r="H972" t="s"/>
      <c r="I972" t="s"/>
      <c r="J972" t="n">
        <v>-0.5574</v>
      </c>
      <c r="K972" t="n">
        <v>0.18</v>
      </c>
      <c r="L972" t="n">
        <v>0.82</v>
      </c>
      <c r="M972" t="n">
        <v>0</v>
      </c>
    </row>
    <row r="973" spans="1:13">
      <c r="A973" s="1">
        <f>HYPERLINK("http://www.twitter.com/NathanBLawrence/status/967070245201633283", "967070245201633283")</f>
        <v/>
      </c>
      <c r="B973" s="2" t="n">
        <v>43154.67694444444</v>
      </c>
      <c r="C973" t="n">
        <v>0</v>
      </c>
      <c r="D973" t="n">
        <v>5524</v>
      </c>
      <c r="E973" t="s">
        <v>984</v>
      </c>
      <c r="F973">
        <f>HYPERLINK("http://pbs.twimg.com/media/DWuN1d8XcAAZQ8n.jpg", "http://pbs.twimg.com/media/DWuN1d8XcAAZQ8n.jpg")</f>
        <v/>
      </c>
      <c r="G973" t="s"/>
      <c r="H973" t="s"/>
      <c r="I973" t="s"/>
      <c r="J973" t="n">
        <v>-0.4588</v>
      </c>
      <c r="K973" t="n">
        <v>0.146</v>
      </c>
      <c r="L973" t="n">
        <v>0.796</v>
      </c>
      <c r="M973" t="n">
        <v>0.058</v>
      </c>
    </row>
    <row r="974" spans="1:13">
      <c r="A974" s="1">
        <f>HYPERLINK("http://www.twitter.com/NathanBLawrence/status/967069789188390912", "967069789188390912")</f>
        <v/>
      </c>
      <c r="B974" s="2" t="n">
        <v>43154.67568287037</v>
      </c>
      <c r="C974" t="n">
        <v>1</v>
      </c>
      <c r="D974" t="n">
        <v>0</v>
      </c>
      <c r="E974" t="s">
        <v>985</v>
      </c>
      <c r="F974" t="s"/>
      <c r="G974" t="s"/>
      <c r="H974" t="s"/>
      <c r="I974" t="s"/>
      <c r="J974" t="n">
        <v>0</v>
      </c>
      <c r="K974" t="n">
        <v>0</v>
      </c>
      <c r="L974" t="n">
        <v>1</v>
      </c>
      <c r="M974" t="n">
        <v>0</v>
      </c>
    </row>
    <row r="975" spans="1:13">
      <c r="A975" s="1">
        <f>HYPERLINK("http://www.twitter.com/NathanBLawrence/status/967068116218990592", "967068116218990592")</f>
        <v/>
      </c>
      <c r="B975" s="2" t="n">
        <v>43154.67106481481</v>
      </c>
      <c r="C975" t="n">
        <v>1</v>
      </c>
      <c r="D975" t="n">
        <v>0</v>
      </c>
      <c r="E975" t="s">
        <v>986</v>
      </c>
      <c r="F975" t="s"/>
      <c r="G975" t="s"/>
      <c r="H975" t="s"/>
      <c r="I975" t="s"/>
      <c r="J975" t="n">
        <v>-0.1906</v>
      </c>
      <c r="K975" t="n">
        <v>0.224</v>
      </c>
      <c r="L975" t="n">
        <v>0.608</v>
      </c>
      <c r="M975" t="n">
        <v>0.167</v>
      </c>
    </row>
    <row r="976" spans="1:13">
      <c r="A976" s="1">
        <f>HYPERLINK("http://www.twitter.com/NathanBLawrence/status/967067267161886720", "967067267161886720")</f>
        <v/>
      </c>
      <c r="B976" s="2" t="n">
        <v>43154.66872685185</v>
      </c>
      <c r="C976" t="n">
        <v>0</v>
      </c>
      <c r="D976" t="n">
        <v>2</v>
      </c>
      <c r="E976" t="s">
        <v>987</v>
      </c>
      <c r="F976" t="s"/>
      <c r="G976" t="s"/>
      <c r="H976" t="s"/>
      <c r="I976" t="s"/>
      <c r="J976" t="n">
        <v>0</v>
      </c>
      <c r="K976" t="n">
        <v>0</v>
      </c>
      <c r="L976" t="n">
        <v>1</v>
      </c>
      <c r="M976" t="n">
        <v>0</v>
      </c>
    </row>
    <row r="977" spans="1:13">
      <c r="A977" s="1">
        <f>HYPERLINK("http://www.twitter.com/NathanBLawrence/status/967065088778735616", "967065088778735616")</f>
        <v/>
      </c>
      <c r="B977" s="2" t="n">
        <v>43154.66271990741</v>
      </c>
      <c r="C977" t="n">
        <v>1</v>
      </c>
      <c r="D977" t="n">
        <v>0</v>
      </c>
      <c r="E977" t="s">
        <v>988</v>
      </c>
      <c r="F977" t="s"/>
      <c r="G977" t="s"/>
      <c r="H977" t="s"/>
      <c r="I977" t="s"/>
      <c r="J977" t="n">
        <v>0.3612</v>
      </c>
      <c r="K977" t="n">
        <v>0</v>
      </c>
      <c r="L977" t="n">
        <v>0.865</v>
      </c>
      <c r="M977" t="n">
        <v>0.135</v>
      </c>
    </row>
    <row r="978" spans="1:13">
      <c r="A978" s="1">
        <f>HYPERLINK("http://www.twitter.com/NathanBLawrence/status/967047410441768960", "967047410441768960")</f>
        <v/>
      </c>
      <c r="B978" s="2" t="n">
        <v>43154.61393518518</v>
      </c>
      <c r="C978" t="n">
        <v>3</v>
      </c>
      <c r="D978" t="n">
        <v>1</v>
      </c>
      <c r="E978" t="s">
        <v>989</v>
      </c>
      <c r="F978" t="s"/>
      <c r="G978" t="s"/>
      <c r="H978" t="s"/>
      <c r="I978" t="s"/>
      <c r="J978" t="n">
        <v>-0.281</v>
      </c>
      <c r="K978" t="n">
        <v>0.135</v>
      </c>
      <c r="L978" t="n">
        <v>0.776</v>
      </c>
      <c r="M978" t="n">
        <v>0.09</v>
      </c>
    </row>
    <row r="979" spans="1:13">
      <c r="A979" s="1">
        <f>HYPERLINK("http://www.twitter.com/NathanBLawrence/status/967044564262510592", "967044564262510592")</f>
        <v/>
      </c>
      <c r="B979" s="2" t="n">
        <v>43154.60607638889</v>
      </c>
      <c r="C979" t="n">
        <v>0</v>
      </c>
      <c r="D979" t="n">
        <v>3</v>
      </c>
      <c r="E979" t="s">
        <v>990</v>
      </c>
      <c r="F979" t="s"/>
      <c r="G979" t="s"/>
      <c r="H979" t="s"/>
      <c r="I979" t="s"/>
      <c r="J979" t="n">
        <v>-0.296</v>
      </c>
      <c r="K979" t="n">
        <v>0.145</v>
      </c>
      <c r="L979" t="n">
        <v>0.855</v>
      </c>
      <c r="M979" t="n">
        <v>0</v>
      </c>
    </row>
    <row r="980" spans="1:13">
      <c r="A980" s="1">
        <f>HYPERLINK("http://www.twitter.com/NathanBLawrence/status/967044354601902081", "967044354601902081")</f>
        <v/>
      </c>
      <c r="B980" s="2" t="n">
        <v>43154.60549768519</v>
      </c>
      <c r="C980" t="n">
        <v>0</v>
      </c>
      <c r="D980" t="n">
        <v>1</v>
      </c>
      <c r="E980" t="s">
        <v>991</v>
      </c>
      <c r="F980" t="s"/>
      <c r="G980" t="s"/>
      <c r="H980" t="s"/>
      <c r="I980" t="s"/>
      <c r="J980" t="n">
        <v>0.6339</v>
      </c>
      <c r="K980" t="n">
        <v>0</v>
      </c>
      <c r="L980" t="n">
        <v>0.767</v>
      </c>
      <c r="M980" t="n">
        <v>0.233</v>
      </c>
    </row>
    <row r="981" spans="1:13">
      <c r="A981" s="1">
        <f>HYPERLINK("http://www.twitter.com/NathanBLawrence/status/967038492692963329", "967038492692963329")</f>
        <v/>
      </c>
      <c r="B981" s="2" t="n">
        <v>43154.5893287037</v>
      </c>
      <c r="C981" t="n">
        <v>1</v>
      </c>
      <c r="D981" t="n">
        <v>0</v>
      </c>
      <c r="E981" t="s">
        <v>992</v>
      </c>
      <c r="F981" t="s"/>
      <c r="G981" t="s"/>
      <c r="H981" t="s"/>
      <c r="I981" t="s"/>
      <c r="J981" t="n">
        <v>0.3252</v>
      </c>
      <c r="K981" t="n">
        <v>0</v>
      </c>
      <c r="L981" t="n">
        <v>0.951</v>
      </c>
      <c r="M981" t="n">
        <v>0.049</v>
      </c>
    </row>
    <row r="982" spans="1:13">
      <c r="A982" s="1">
        <f>HYPERLINK("http://www.twitter.com/NathanBLawrence/status/966997354816720896", "966997354816720896")</f>
        <v/>
      </c>
      <c r="B982" s="2" t="n">
        <v>43154.47579861111</v>
      </c>
      <c r="C982" t="n">
        <v>2</v>
      </c>
      <c r="D982" t="n">
        <v>0</v>
      </c>
      <c r="E982" t="s">
        <v>993</v>
      </c>
      <c r="F982" t="s"/>
      <c r="G982" t="s"/>
      <c r="H982" t="s"/>
      <c r="I982" t="s"/>
      <c r="J982" t="n">
        <v>0.1027</v>
      </c>
      <c r="K982" t="n">
        <v>0.164</v>
      </c>
      <c r="L982" t="n">
        <v>0.571</v>
      </c>
      <c r="M982" t="n">
        <v>0.264</v>
      </c>
    </row>
    <row r="983" spans="1:13">
      <c r="A983" s="1">
        <f>HYPERLINK("http://www.twitter.com/NathanBLawrence/status/966894115324481536", "966894115324481536")</f>
        <v/>
      </c>
      <c r="B983" s="2" t="n">
        <v>43154.19091435185</v>
      </c>
      <c r="C983" t="n">
        <v>0</v>
      </c>
      <c r="D983" t="n">
        <v>0</v>
      </c>
      <c r="E983" t="s">
        <v>994</v>
      </c>
      <c r="F983" t="s"/>
      <c r="G983" t="s"/>
      <c r="H983" t="s"/>
      <c r="I983" t="s"/>
      <c r="J983" t="n">
        <v>0</v>
      </c>
      <c r="K983" t="n">
        <v>0</v>
      </c>
      <c r="L983" t="n">
        <v>1</v>
      </c>
      <c r="M983" t="n">
        <v>0</v>
      </c>
    </row>
    <row r="984" spans="1:13">
      <c r="A984" s="1">
        <f>HYPERLINK("http://www.twitter.com/NathanBLawrence/status/966881749094420482", "966881749094420482")</f>
        <v/>
      </c>
      <c r="B984" s="2" t="n">
        <v>43154.15679398148</v>
      </c>
      <c r="C984" t="n">
        <v>1</v>
      </c>
      <c r="D984" t="n">
        <v>0</v>
      </c>
      <c r="E984" t="s">
        <v>995</v>
      </c>
      <c r="F984" t="s"/>
      <c r="G984" t="s"/>
      <c r="H984" t="s"/>
      <c r="I984" t="s"/>
      <c r="J984" t="n">
        <v>0.2732</v>
      </c>
      <c r="K984" t="n">
        <v>0</v>
      </c>
      <c r="L984" t="n">
        <v>0.8110000000000001</v>
      </c>
      <c r="M984" t="n">
        <v>0.189</v>
      </c>
    </row>
    <row r="985" spans="1:13">
      <c r="A985" s="1">
        <f>HYPERLINK("http://www.twitter.com/NathanBLawrence/status/966842342383726592", "966842342383726592")</f>
        <v/>
      </c>
      <c r="B985" s="2" t="n">
        <v>43154.04805555556</v>
      </c>
      <c r="C985" t="n">
        <v>1</v>
      </c>
      <c r="D985" t="n">
        <v>0</v>
      </c>
      <c r="E985" t="s">
        <v>996</v>
      </c>
      <c r="F985" t="s"/>
      <c r="G985" t="s"/>
      <c r="H985" t="s"/>
      <c r="I985" t="s"/>
      <c r="J985" t="n">
        <v>0</v>
      </c>
      <c r="K985" t="n">
        <v>0</v>
      </c>
      <c r="L985" t="n">
        <v>1</v>
      </c>
      <c r="M985" t="n">
        <v>0</v>
      </c>
    </row>
    <row r="986" spans="1:13">
      <c r="A986" s="1">
        <f>HYPERLINK("http://www.twitter.com/NathanBLawrence/status/966776401461424131", "966776401461424131")</f>
        <v/>
      </c>
      <c r="B986" s="2" t="n">
        <v>43153.86608796296</v>
      </c>
      <c r="C986" t="n">
        <v>0</v>
      </c>
      <c r="D986" t="n">
        <v>0</v>
      </c>
      <c r="E986" t="s">
        <v>997</v>
      </c>
      <c r="F986" t="s"/>
      <c r="G986" t="s"/>
      <c r="H986" t="s"/>
      <c r="I986" t="s"/>
      <c r="J986" t="n">
        <v>0</v>
      </c>
      <c r="K986" t="n">
        <v>0</v>
      </c>
      <c r="L986" t="n">
        <v>1</v>
      </c>
      <c r="M986" t="n">
        <v>0</v>
      </c>
    </row>
    <row r="987" spans="1:13">
      <c r="A987" s="1">
        <f>HYPERLINK("http://www.twitter.com/NathanBLawrence/status/966725857338449921", "966725857338449921")</f>
        <v/>
      </c>
      <c r="B987" s="2" t="n">
        <v>43153.7266087963</v>
      </c>
      <c r="C987" t="n">
        <v>0</v>
      </c>
      <c r="D987" t="n">
        <v>2592</v>
      </c>
      <c r="E987" t="s">
        <v>998</v>
      </c>
      <c r="F987" t="s"/>
      <c r="G987" t="s"/>
      <c r="H987" t="s"/>
      <c r="I987" t="s"/>
      <c r="J987" t="n">
        <v>0.3612</v>
      </c>
      <c r="K987" t="n">
        <v>0</v>
      </c>
      <c r="L987" t="n">
        <v>0.848</v>
      </c>
      <c r="M987" t="n">
        <v>0.152</v>
      </c>
    </row>
    <row r="988" spans="1:13">
      <c r="A988" s="1">
        <f>HYPERLINK("http://www.twitter.com/NathanBLawrence/status/966711611011534849", "966711611011534849")</f>
        <v/>
      </c>
      <c r="B988" s="2" t="n">
        <v>43153.68730324074</v>
      </c>
      <c r="C988" t="n">
        <v>0</v>
      </c>
      <c r="D988" t="n">
        <v>22202</v>
      </c>
      <c r="E988" t="s">
        <v>999</v>
      </c>
      <c r="F988" t="s"/>
      <c r="G988" t="s"/>
      <c r="H988" t="s"/>
      <c r="I988" t="s"/>
      <c r="J988" t="n">
        <v>-0.1447</v>
      </c>
      <c r="K988" t="n">
        <v>0.074</v>
      </c>
      <c r="L988" t="n">
        <v>0.874</v>
      </c>
      <c r="M988" t="n">
        <v>0.052</v>
      </c>
    </row>
    <row r="989" spans="1:13">
      <c r="A989" s="1">
        <f>HYPERLINK("http://www.twitter.com/NathanBLawrence/status/966701657038958592", "966701657038958592")</f>
        <v/>
      </c>
      <c r="B989" s="2" t="n">
        <v>43153.65983796296</v>
      </c>
      <c r="C989" t="n">
        <v>1</v>
      </c>
      <c r="D989" t="n">
        <v>0</v>
      </c>
      <c r="E989" t="s">
        <v>1000</v>
      </c>
      <c r="F989" t="s"/>
      <c r="G989" t="s"/>
      <c r="H989" t="s"/>
      <c r="I989" t="s"/>
      <c r="J989" t="n">
        <v>0.2568</v>
      </c>
      <c r="K989" t="n">
        <v>0.068</v>
      </c>
      <c r="L989" t="n">
        <v>0.8179999999999999</v>
      </c>
      <c r="M989" t="n">
        <v>0.114</v>
      </c>
    </row>
    <row r="990" spans="1:13">
      <c r="A990" s="1">
        <f>HYPERLINK("http://www.twitter.com/NathanBLawrence/status/966695937321132033", "966695937321132033")</f>
        <v/>
      </c>
      <c r="B990" s="2" t="n">
        <v>43153.64405092593</v>
      </c>
      <c r="C990" t="n">
        <v>1</v>
      </c>
      <c r="D990" t="n">
        <v>0</v>
      </c>
      <c r="E990" t="s">
        <v>1001</v>
      </c>
      <c r="F990" t="s"/>
      <c r="G990" t="s"/>
      <c r="H990" t="s"/>
      <c r="I990" t="s"/>
      <c r="J990" t="n">
        <v>-0.0464</v>
      </c>
      <c r="K990" t="n">
        <v>0.269</v>
      </c>
      <c r="L990" t="n">
        <v>0.468</v>
      </c>
      <c r="M990" t="n">
        <v>0.262</v>
      </c>
    </row>
    <row r="991" spans="1:13">
      <c r="A991" s="1">
        <f>HYPERLINK("http://www.twitter.com/NathanBLawrence/status/966687387685449732", "966687387685449732")</f>
        <v/>
      </c>
      <c r="B991" s="2" t="n">
        <v>43153.62046296296</v>
      </c>
      <c r="C991" t="n">
        <v>0</v>
      </c>
      <c r="D991" t="n">
        <v>2303</v>
      </c>
      <c r="E991" t="s">
        <v>1002</v>
      </c>
      <c r="F991" t="s"/>
      <c r="G991" t="s"/>
      <c r="H991" t="s"/>
      <c r="I991" t="s"/>
      <c r="J991" t="n">
        <v>0.3818</v>
      </c>
      <c r="K991" t="n">
        <v>0.076</v>
      </c>
      <c r="L991" t="n">
        <v>0.745</v>
      </c>
      <c r="M991" t="n">
        <v>0.178</v>
      </c>
    </row>
    <row r="992" spans="1:13">
      <c r="A992" s="1">
        <f>HYPERLINK("http://www.twitter.com/NathanBLawrence/status/966685995407167489", "966685995407167489")</f>
        <v/>
      </c>
      <c r="B992" s="2" t="n">
        <v>43153.61662037037</v>
      </c>
      <c r="C992" t="n">
        <v>0</v>
      </c>
      <c r="D992" t="n">
        <v>0</v>
      </c>
      <c r="E992" t="s">
        <v>1003</v>
      </c>
      <c r="F992" t="s"/>
      <c r="G992" t="s"/>
      <c r="H992" t="s"/>
      <c r="I992" t="s"/>
      <c r="J992" t="n">
        <v>-0.5859</v>
      </c>
      <c r="K992" t="n">
        <v>0.183</v>
      </c>
      <c r="L992" t="n">
        <v>0.8169999999999999</v>
      </c>
      <c r="M992" t="n">
        <v>0</v>
      </c>
    </row>
    <row r="993" spans="1:13">
      <c r="A993" s="1">
        <f>HYPERLINK("http://www.twitter.com/NathanBLawrence/status/966672615434747905", "966672615434747905")</f>
        <v/>
      </c>
      <c r="B993" s="2" t="n">
        <v>43153.57969907407</v>
      </c>
      <c r="C993" t="n">
        <v>0</v>
      </c>
      <c r="D993" t="n">
        <v>0</v>
      </c>
      <c r="E993" t="s">
        <v>1004</v>
      </c>
      <c r="F993" t="s"/>
      <c r="G993" t="s"/>
      <c r="H993" t="s"/>
      <c r="I993" t="s"/>
      <c r="J993" t="n">
        <v>0</v>
      </c>
      <c r="K993" t="n">
        <v>0</v>
      </c>
      <c r="L993" t="n">
        <v>1</v>
      </c>
      <c r="M993" t="n">
        <v>0</v>
      </c>
    </row>
    <row r="994" spans="1:13">
      <c r="A994" s="1">
        <f>HYPERLINK("http://www.twitter.com/NathanBLawrence/status/966474637684207616", "966474637684207616")</f>
        <v/>
      </c>
      <c r="B994" s="2" t="n">
        <v>43153.03337962963</v>
      </c>
      <c r="C994" t="n">
        <v>0</v>
      </c>
      <c r="D994" t="n">
        <v>0</v>
      </c>
      <c r="E994" t="s">
        <v>1005</v>
      </c>
      <c r="F994" t="s"/>
      <c r="G994" t="s"/>
      <c r="H994" t="s"/>
      <c r="I994" t="s"/>
      <c r="J994" t="n">
        <v>-0.7845</v>
      </c>
      <c r="K994" t="n">
        <v>0.33</v>
      </c>
      <c r="L994" t="n">
        <v>0.67</v>
      </c>
      <c r="M994" t="n">
        <v>0</v>
      </c>
    </row>
    <row r="995" spans="1:13">
      <c r="A995" s="1">
        <f>HYPERLINK("http://www.twitter.com/NathanBLawrence/status/966375689401307143", "966375689401307143")</f>
        <v/>
      </c>
      <c r="B995" s="2" t="n">
        <v>43152.76033564815</v>
      </c>
      <c r="C995" t="n">
        <v>0</v>
      </c>
      <c r="D995" t="n">
        <v>0</v>
      </c>
      <c r="E995" t="s">
        <v>1006</v>
      </c>
      <c r="F995" t="s"/>
      <c r="G995" t="s"/>
      <c r="H995" t="s"/>
      <c r="I995" t="s"/>
      <c r="J995" t="n">
        <v>0</v>
      </c>
      <c r="K995" t="n">
        <v>0</v>
      </c>
      <c r="L995" t="n">
        <v>1</v>
      </c>
      <c r="M995" t="n">
        <v>0</v>
      </c>
    </row>
    <row r="996" spans="1:13">
      <c r="A996" s="1">
        <f>HYPERLINK("http://www.twitter.com/NathanBLawrence/status/966307849734361088", "966307849734361088")</f>
        <v/>
      </c>
      <c r="B996" s="2" t="n">
        <v>43152.57313657407</v>
      </c>
      <c r="C996" t="n">
        <v>0</v>
      </c>
      <c r="D996" t="n">
        <v>3981</v>
      </c>
      <c r="E996" t="s">
        <v>1007</v>
      </c>
      <c r="F996" t="s"/>
      <c r="G996" t="s"/>
      <c r="H996" t="s"/>
      <c r="I996" t="s"/>
      <c r="J996" t="n">
        <v>0.128</v>
      </c>
      <c r="K996" t="n">
        <v>0.092</v>
      </c>
      <c r="L996" t="n">
        <v>0.797</v>
      </c>
      <c r="M996" t="n">
        <v>0.112</v>
      </c>
    </row>
    <row r="997" spans="1:13">
      <c r="A997" s="1">
        <f>HYPERLINK("http://www.twitter.com/NathanBLawrence/status/966269650702143489", "966269650702143489")</f>
        <v/>
      </c>
      <c r="B997" s="2" t="n">
        <v>43152.46771990741</v>
      </c>
      <c r="C997" t="n">
        <v>1</v>
      </c>
      <c r="D997" t="n">
        <v>2</v>
      </c>
      <c r="E997" t="s">
        <v>1008</v>
      </c>
      <c r="F997" t="s"/>
      <c r="G997" t="s"/>
      <c r="H997" t="s"/>
      <c r="I997" t="s"/>
      <c r="J997" t="n">
        <v>-0.3182</v>
      </c>
      <c r="K997" t="n">
        <v>0.247</v>
      </c>
      <c r="L997" t="n">
        <v>0.753</v>
      </c>
      <c r="M997" t="n">
        <v>0</v>
      </c>
    </row>
    <row r="998" spans="1:13">
      <c r="A998" s="1">
        <f>HYPERLINK("http://www.twitter.com/NathanBLawrence/status/966168342854864897", "966168342854864897")</f>
        <v/>
      </c>
      <c r="B998" s="2" t="n">
        <v>43152.18817129629</v>
      </c>
      <c r="C998" t="n">
        <v>0</v>
      </c>
      <c r="D998" t="n">
        <v>631</v>
      </c>
      <c r="E998" t="s">
        <v>1009</v>
      </c>
      <c r="F998" t="s"/>
      <c r="G998" t="s"/>
      <c r="H998" t="s"/>
      <c r="I998" t="s"/>
      <c r="J998" t="n">
        <v>-0.34</v>
      </c>
      <c r="K998" t="n">
        <v>0.08799999999999999</v>
      </c>
      <c r="L998" t="n">
        <v>0.912</v>
      </c>
      <c r="M998" t="n">
        <v>0</v>
      </c>
    </row>
    <row r="999" spans="1:13">
      <c r="A999" s="1">
        <f>HYPERLINK("http://www.twitter.com/NathanBLawrence/status/966166295933849605", "966166295933849605")</f>
        <v/>
      </c>
      <c r="B999" s="2" t="n">
        <v>43152.18252314815</v>
      </c>
      <c r="C999" t="n">
        <v>0</v>
      </c>
      <c r="D999" t="n">
        <v>0</v>
      </c>
      <c r="E999" t="s">
        <v>1010</v>
      </c>
      <c r="F999" t="s"/>
      <c r="G999" t="s"/>
      <c r="H999" t="s"/>
      <c r="I999" t="s"/>
      <c r="J999" t="n">
        <v>-0.296</v>
      </c>
      <c r="K999" t="n">
        <v>0.344</v>
      </c>
      <c r="L999" t="n">
        <v>0.656</v>
      </c>
      <c r="M999" t="n">
        <v>0</v>
      </c>
    </row>
    <row r="1000" spans="1:13">
      <c r="A1000" s="1">
        <f>HYPERLINK("http://www.twitter.com/NathanBLawrence/status/966098838074380288", "966098838074380288")</f>
        <v/>
      </c>
      <c r="B1000" s="2" t="n">
        <v>43151.99636574074</v>
      </c>
      <c r="C1000" t="n">
        <v>0</v>
      </c>
      <c r="D1000" t="n">
        <v>0</v>
      </c>
      <c r="E1000" t="s">
        <v>1011</v>
      </c>
      <c r="F1000" t="s"/>
      <c r="G1000" t="s"/>
      <c r="H1000" t="s"/>
      <c r="I1000" t="s"/>
      <c r="J1000" t="n">
        <v>0.5644</v>
      </c>
      <c r="K1000" t="n">
        <v>0</v>
      </c>
      <c r="L1000" t="n">
        <v>0.721</v>
      </c>
      <c r="M1000" t="n">
        <v>0.279</v>
      </c>
    </row>
    <row r="1001" spans="1:13">
      <c r="A1001" s="1">
        <f>HYPERLINK("http://www.twitter.com/NathanBLawrence/status/966097791385731072", "966097791385731072")</f>
        <v/>
      </c>
      <c r="B1001" s="2" t="n">
        <v>43151.99348379629</v>
      </c>
      <c r="C1001" t="n">
        <v>3</v>
      </c>
      <c r="D1001" t="n">
        <v>0</v>
      </c>
      <c r="E1001" t="s">
        <v>1012</v>
      </c>
      <c r="F1001" t="s"/>
      <c r="G1001" t="s"/>
      <c r="H1001" t="s"/>
      <c r="I1001" t="s"/>
      <c r="J1001" t="n">
        <v>-0.3875</v>
      </c>
      <c r="K1001" t="n">
        <v>0.345</v>
      </c>
      <c r="L1001" t="n">
        <v>0.655</v>
      </c>
      <c r="M1001" t="n">
        <v>0</v>
      </c>
    </row>
    <row r="1002" spans="1:13">
      <c r="A1002" s="1">
        <f>HYPERLINK("http://www.twitter.com/NathanBLawrence/status/966061936701042688", "966061936701042688")</f>
        <v/>
      </c>
      <c r="B1002" s="2" t="n">
        <v>43151.89453703703</v>
      </c>
      <c r="C1002" t="n">
        <v>0</v>
      </c>
      <c r="D1002" t="n">
        <v>3682</v>
      </c>
      <c r="E1002" t="s">
        <v>1013</v>
      </c>
      <c r="F1002" t="s"/>
      <c r="G1002" t="s"/>
      <c r="H1002" t="s"/>
      <c r="I1002" t="s"/>
      <c r="J1002" t="n">
        <v>-0.743</v>
      </c>
      <c r="K1002" t="n">
        <v>0.343</v>
      </c>
      <c r="L1002" t="n">
        <v>0.657</v>
      </c>
      <c r="M1002" t="n">
        <v>0</v>
      </c>
    </row>
    <row r="1003" spans="1:13">
      <c r="A1003" s="1">
        <f>HYPERLINK("http://www.twitter.com/NathanBLawrence/status/966057306252333059", "966057306252333059")</f>
        <v/>
      </c>
      <c r="B1003" s="2" t="n">
        <v>43151.88175925926</v>
      </c>
      <c r="C1003" t="n">
        <v>0</v>
      </c>
      <c r="D1003" t="n">
        <v>0</v>
      </c>
      <c r="E1003" t="s">
        <v>1014</v>
      </c>
      <c r="F1003" t="s"/>
      <c r="G1003" t="s"/>
      <c r="H1003" t="s"/>
      <c r="I1003" t="s"/>
      <c r="J1003" t="n">
        <v>0</v>
      </c>
      <c r="K1003" t="n">
        <v>0</v>
      </c>
      <c r="L1003" t="n">
        <v>1</v>
      </c>
      <c r="M1003" t="n">
        <v>0</v>
      </c>
    </row>
    <row r="1004" spans="1:13">
      <c r="A1004" s="1">
        <f>HYPERLINK("http://www.twitter.com/NathanBLawrence/status/966014347498663937", "966014347498663937")</f>
        <v/>
      </c>
      <c r="B1004" s="2" t="n">
        <v>43151.76321759259</v>
      </c>
      <c r="C1004" t="n">
        <v>0</v>
      </c>
      <c r="D1004" t="n">
        <v>0</v>
      </c>
      <c r="E1004" t="s">
        <v>1015</v>
      </c>
      <c r="F1004" t="s"/>
      <c r="G1004" t="s"/>
      <c r="H1004" t="s"/>
      <c r="I1004" t="s"/>
      <c r="J1004" t="n">
        <v>0.7717000000000001</v>
      </c>
      <c r="K1004" t="n">
        <v>0.145</v>
      </c>
      <c r="L1004" t="n">
        <v>0.407</v>
      </c>
      <c r="M1004" t="n">
        <v>0.448</v>
      </c>
    </row>
    <row r="1005" spans="1:13">
      <c r="A1005" s="1">
        <f>HYPERLINK("http://www.twitter.com/NathanBLawrence/status/966011359820382213", "966011359820382213")</f>
        <v/>
      </c>
      <c r="B1005" s="2" t="n">
        <v>43151.75497685185</v>
      </c>
      <c r="C1005" t="n">
        <v>0</v>
      </c>
      <c r="D1005" t="n">
        <v>0</v>
      </c>
      <c r="E1005" t="s">
        <v>1016</v>
      </c>
      <c r="F1005" t="s"/>
      <c r="G1005" t="s"/>
      <c r="H1005" t="s"/>
      <c r="I1005" t="s"/>
      <c r="J1005" t="n">
        <v>-0.8270999999999999</v>
      </c>
      <c r="K1005" t="n">
        <v>0.262</v>
      </c>
      <c r="L1005" t="n">
        <v>0.661</v>
      </c>
      <c r="M1005" t="n">
        <v>0.077</v>
      </c>
    </row>
    <row r="1006" spans="1:13">
      <c r="A1006" s="1">
        <f>HYPERLINK("http://www.twitter.com/NathanBLawrence/status/966009196142526464", "966009196142526464")</f>
        <v/>
      </c>
      <c r="B1006" s="2" t="n">
        <v>43151.74900462963</v>
      </c>
      <c r="C1006" t="n">
        <v>0</v>
      </c>
      <c r="D1006" t="n">
        <v>0</v>
      </c>
      <c r="E1006" t="s">
        <v>1017</v>
      </c>
      <c r="F1006" t="s"/>
      <c r="G1006" t="s"/>
      <c r="H1006" t="s"/>
      <c r="I1006" t="s"/>
      <c r="J1006" t="n">
        <v>0.5106000000000001</v>
      </c>
      <c r="K1006" t="n">
        <v>0</v>
      </c>
      <c r="L1006" t="n">
        <v>0.8090000000000001</v>
      </c>
      <c r="M1006" t="n">
        <v>0.191</v>
      </c>
    </row>
    <row r="1007" spans="1:13">
      <c r="A1007" s="1">
        <f>HYPERLINK("http://www.twitter.com/NathanBLawrence/status/965969551392497665", "965969551392497665")</f>
        <v/>
      </c>
      <c r="B1007" s="2" t="n">
        <v>43151.63960648148</v>
      </c>
      <c r="C1007" t="n">
        <v>0</v>
      </c>
      <c r="D1007" t="n">
        <v>0</v>
      </c>
      <c r="E1007" t="s">
        <v>1018</v>
      </c>
      <c r="F1007" t="s"/>
      <c r="G1007" t="s"/>
      <c r="H1007" t="s"/>
      <c r="I1007" t="s"/>
      <c r="J1007" t="n">
        <v>-0.4019</v>
      </c>
      <c r="K1007" t="n">
        <v>0.191</v>
      </c>
      <c r="L1007" t="n">
        <v>0.6899999999999999</v>
      </c>
      <c r="M1007" t="n">
        <v>0.119</v>
      </c>
    </row>
    <row r="1008" spans="1:13">
      <c r="A1008" s="1">
        <f>HYPERLINK("http://www.twitter.com/NathanBLawrence/status/965958627558387713", "965958627558387713")</f>
        <v/>
      </c>
      <c r="B1008" s="2" t="n">
        <v>43151.60946759259</v>
      </c>
      <c r="C1008" t="n">
        <v>0</v>
      </c>
      <c r="D1008" t="n">
        <v>1817</v>
      </c>
      <c r="E1008" t="s">
        <v>1019</v>
      </c>
      <c r="F1008" t="s"/>
      <c r="G1008" t="s"/>
      <c r="H1008" t="s"/>
      <c r="I1008" t="s"/>
      <c r="J1008" t="n">
        <v>0.2247</v>
      </c>
      <c r="K1008" t="n">
        <v>0.073</v>
      </c>
      <c r="L1008" t="n">
        <v>0.825</v>
      </c>
      <c r="M1008" t="n">
        <v>0.102</v>
      </c>
    </row>
    <row r="1009" spans="1:13">
      <c r="A1009" s="1">
        <f>HYPERLINK("http://www.twitter.com/NathanBLawrence/status/965785910473383937", "965785910473383937")</f>
        <v/>
      </c>
      <c r="B1009" s="2" t="n">
        <v>43151.1328587963</v>
      </c>
      <c r="C1009" t="n">
        <v>0</v>
      </c>
      <c r="D1009" t="n">
        <v>0</v>
      </c>
      <c r="E1009" t="s">
        <v>1020</v>
      </c>
      <c r="F1009" t="s"/>
      <c r="G1009" t="s"/>
      <c r="H1009" t="s"/>
      <c r="I1009" t="s"/>
      <c r="J1009" t="n">
        <v>0</v>
      </c>
      <c r="K1009" t="n">
        <v>0</v>
      </c>
      <c r="L1009" t="n">
        <v>1</v>
      </c>
      <c r="M1009" t="n">
        <v>0</v>
      </c>
    </row>
    <row r="1010" spans="1:13">
      <c r="A1010" s="1">
        <f>HYPERLINK("http://www.twitter.com/NathanBLawrence/status/965785825395998720", "965785825395998720")</f>
        <v/>
      </c>
      <c r="B1010" s="2" t="n">
        <v>43151.13261574074</v>
      </c>
      <c r="C1010" t="n">
        <v>0</v>
      </c>
      <c r="D1010" t="n">
        <v>2</v>
      </c>
      <c r="E1010" t="s">
        <v>1021</v>
      </c>
      <c r="F1010" t="s"/>
      <c r="G1010" t="s"/>
      <c r="H1010" t="s"/>
      <c r="I1010" t="s"/>
      <c r="J1010" t="n">
        <v>0</v>
      </c>
      <c r="K1010" t="n">
        <v>0</v>
      </c>
      <c r="L1010" t="n">
        <v>1</v>
      </c>
      <c r="M1010" t="n">
        <v>0</v>
      </c>
    </row>
    <row r="1011" spans="1:13">
      <c r="A1011" s="1">
        <f>HYPERLINK("http://www.twitter.com/NathanBLawrence/status/965785368204337152", "965785368204337152")</f>
        <v/>
      </c>
      <c r="B1011" s="2" t="n">
        <v>43151.13135416667</v>
      </c>
      <c r="C1011" t="n">
        <v>0</v>
      </c>
      <c r="D1011" t="n">
        <v>4312</v>
      </c>
      <c r="E1011" t="s">
        <v>1022</v>
      </c>
      <c r="F1011" t="s"/>
      <c r="G1011" t="s"/>
      <c r="H1011" t="s"/>
      <c r="I1011" t="s"/>
      <c r="J1011" t="n">
        <v>-0.5574</v>
      </c>
      <c r="K1011" t="n">
        <v>0.298</v>
      </c>
      <c r="L1011" t="n">
        <v>0.532</v>
      </c>
      <c r="M1011" t="n">
        <v>0.17</v>
      </c>
    </row>
    <row r="1012" spans="1:13">
      <c r="A1012" s="1">
        <f>HYPERLINK("http://www.twitter.com/NathanBLawrence/status/965784445897854976", "965784445897854976")</f>
        <v/>
      </c>
      <c r="B1012" s="2" t="n">
        <v>43151.12880787037</v>
      </c>
      <c r="C1012" t="n">
        <v>0</v>
      </c>
      <c r="D1012" t="n">
        <v>6440</v>
      </c>
      <c r="E1012" t="s">
        <v>1023</v>
      </c>
      <c r="F1012" t="s"/>
      <c r="G1012" t="s"/>
      <c r="H1012" t="s"/>
      <c r="I1012" t="s"/>
      <c r="J1012" t="n">
        <v>0.3612</v>
      </c>
      <c r="K1012" t="n">
        <v>0</v>
      </c>
      <c r="L1012" t="n">
        <v>0.865</v>
      </c>
      <c r="M1012" t="n">
        <v>0.135</v>
      </c>
    </row>
    <row r="1013" spans="1:13">
      <c r="A1013" s="1">
        <f>HYPERLINK("http://www.twitter.com/NathanBLawrence/status/965782788086599680", "965782788086599680")</f>
        <v/>
      </c>
      <c r="B1013" s="2" t="n">
        <v>43151.12423611111</v>
      </c>
      <c r="C1013" t="n">
        <v>1</v>
      </c>
      <c r="D1013" t="n">
        <v>0</v>
      </c>
      <c r="E1013" t="s">
        <v>1024</v>
      </c>
      <c r="F1013" t="s"/>
      <c r="G1013" t="s"/>
      <c r="H1013" t="s"/>
      <c r="I1013" t="s"/>
      <c r="J1013" t="n">
        <v>-0.504</v>
      </c>
      <c r="K1013" t="n">
        <v>0.299</v>
      </c>
      <c r="L1013" t="n">
        <v>0.571</v>
      </c>
      <c r="M1013" t="n">
        <v>0.13</v>
      </c>
    </row>
    <row r="1014" spans="1:13">
      <c r="A1014" s="1">
        <f>HYPERLINK("http://www.twitter.com/NathanBLawrence/status/965781839020548103", "965781839020548103")</f>
        <v/>
      </c>
      <c r="B1014" s="2" t="n">
        <v>43151.12162037037</v>
      </c>
      <c r="C1014" t="n">
        <v>0</v>
      </c>
      <c r="D1014" t="n">
        <v>0</v>
      </c>
      <c r="E1014" t="s">
        <v>1025</v>
      </c>
      <c r="F1014" t="s"/>
      <c r="G1014" t="s"/>
      <c r="H1014" t="s"/>
      <c r="I1014" t="s"/>
      <c r="J1014" t="n">
        <v>0</v>
      </c>
      <c r="K1014" t="n">
        <v>0</v>
      </c>
      <c r="L1014" t="n">
        <v>1</v>
      </c>
      <c r="M1014" t="n">
        <v>0</v>
      </c>
    </row>
    <row r="1015" spans="1:13">
      <c r="A1015" s="1">
        <f>HYPERLINK("http://www.twitter.com/NathanBLawrence/status/965781253541847040", "965781253541847040")</f>
        <v/>
      </c>
      <c r="B1015" s="2" t="n">
        <v>43151.12</v>
      </c>
      <c r="C1015" t="n">
        <v>0</v>
      </c>
      <c r="D1015" t="n">
        <v>0</v>
      </c>
      <c r="E1015" t="s">
        <v>1026</v>
      </c>
      <c r="F1015" t="s"/>
      <c r="G1015" t="s"/>
      <c r="H1015" t="s"/>
      <c r="I1015" t="s"/>
      <c r="J1015" t="n">
        <v>-0.3818</v>
      </c>
      <c r="K1015" t="n">
        <v>0.245</v>
      </c>
      <c r="L1015" t="n">
        <v>0.755</v>
      </c>
      <c r="M1015" t="n">
        <v>0</v>
      </c>
    </row>
    <row r="1016" spans="1:13">
      <c r="A1016" s="1">
        <f>HYPERLINK("http://www.twitter.com/NathanBLawrence/status/965780621313413120", "965780621313413120")</f>
        <v/>
      </c>
      <c r="B1016" s="2" t="n">
        <v>43151.11826388889</v>
      </c>
      <c r="C1016" t="n">
        <v>5</v>
      </c>
      <c r="D1016" t="n">
        <v>0</v>
      </c>
      <c r="E1016" t="s">
        <v>1027</v>
      </c>
      <c r="F1016" t="s"/>
      <c r="G1016" t="s"/>
      <c r="H1016" t="s"/>
      <c r="I1016" t="s"/>
      <c r="J1016" t="n">
        <v>-0.4215</v>
      </c>
      <c r="K1016" t="n">
        <v>0.123</v>
      </c>
      <c r="L1016" t="n">
        <v>0.877</v>
      </c>
      <c r="M1016" t="n">
        <v>0</v>
      </c>
    </row>
    <row r="1017" spans="1:13">
      <c r="A1017" s="1">
        <f>HYPERLINK("http://www.twitter.com/NathanBLawrence/status/965776218875363329", "965776218875363329")</f>
        <v/>
      </c>
      <c r="B1017" s="2" t="n">
        <v>43151.10611111111</v>
      </c>
      <c r="C1017" t="n">
        <v>0</v>
      </c>
      <c r="D1017" t="n">
        <v>0</v>
      </c>
      <c r="E1017" t="s">
        <v>1028</v>
      </c>
      <c r="F1017" t="s"/>
      <c r="G1017" t="s"/>
      <c r="H1017" t="s"/>
      <c r="I1017" t="s"/>
      <c r="J1017" t="n">
        <v>0</v>
      </c>
      <c r="K1017" t="n">
        <v>0</v>
      </c>
      <c r="L1017" t="n">
        <v>1</v>
      </c>
      <c r="M1017" t="n">
        <v>0</v>
      </c>
    </row>
    <row r="1018" spans="1:13">
      <c r="A1018" s="1">
        <f>HYPERLINK("http://www.twitter.com/NathanBLawrence/status/965766881973035008", "965766881973035008")</f>
        <v/>
      </c>
      <c r="B1018" s="2" t="n">
        <v>43151.08034722223</v>
      </c>
      <c r="C1018" t="n">
        <v>0</v>
      </c>
      <c r="D1018" t="n">
        <v>144</v>
      </c>
      <c r="E1018" t="s">
        <v>1029</v>
      </c>
      <c r="F1018" t="s"/>
      <c r="G1018" t="s"/>
      <c r="H1018" t="s"/>
      <c r="I1018" t="s"/>
      <c r="J1018" t="n">
        <v>-0.0382</v>
      </c>
      <c r="K1018" t="n">
        <v>0.111</v>
      </c>
      <c r="L1018" t="n">
        <v>0.785</v>
      </c>
      <c r="M1018" t="n">
        <v>0.104</v>
      </c>
    </row>
    <row r="1019" spans="1:13">
      <c r="A1019" s="1">
        <f>HYPERLINK("http://www.twitter.com/NathanBLawrence/status/965765587698843648", "965765587698843648")</f>
        <v/>
      </c>
      <c r="B1019" s="2" t="n">
        <v>43151.07677083334</v>
      </c>
      <c r="C1019" t="n">
        <v>0</v>
      </c>
      <c r="D1019" t="n">
        <v>0</v>
      </c>
      <c r="E1019" t="s">
        <v>1030</v>
      </c>
      <c r="F1019" t="s"/>
      <c r="G1019" t="s"/>
      <c r="H1019" t="s"/>
      <c r="I1019" t="s"/>
      <c r="J1019" t="n">
        <v>0.0258</v>
      </c>
      <c r="K1019" t="n">
        <v>0.08</v>
      </c>
      <c r="L1019" t="n">
        <v>0.836</v>
      </c>
      <c r="M1019" t="n">
        <v>0.08400000000000001</v>
      </c>
    </row>
    <row r="1020" spans="1:13">
      <c r="A1020" s="1">
        <f>HYPERLINK("http://www.twitter.com/NathanBLawrence/status/965642823696551937", "965642823696551937")</f>
        <v/>
      </c>
      <c r="B1020" s="2" t="n">
        <v>43150.73800925926</v>
      </c>
      <c r="C1020" t="n">
        <v>0</v>
      </c>
      <c r="D1020" t="n">
        <v>0</v>
      </c>
      <c r="E1020" t="s">
        <v>1031</v>
      </c>
      <c r="F1020" t="s"/>
      <c r="G1020" t="s"/>
      <c r="H1020" t="s"/>
      <c r="I1020" t="s"/>
      <c r="J1020" t="n">
        <v>-0.34</v>
      </c>
      <c r="K1020" t="n">
        <v>0.231</v>
      </c>
      <c r="L1020" t="n">
        <v>0.769</v>
      </c>
      <c r="M1020" t="n">
        <v>0</v>
      </c>
    </row>
    <row r="1021" spans="1:13">
      <c r="A1021" s="1">
        <f>HYPERLINK("http://www.twitter.com/NathanBLawrence/status/965642550286700544", "965642550286700544")</f>
        <v/>
      </c>
      <c r="B1021" s="2" t="n">
        <v>43150.73725694444</v>
      </c>
      <c r="C1021" t="n">
        <v>0</v>
      </c>
      <c r="D1021" t="n">
        <v>0</v>
      </c>
      <c r="E1021" t="s">
        <v>1032</v>
      </c>
      <c r="F1021" t="s"/>
      <c r="G1021" t="s"/>
      <c r="H1021" t="s"/>
      <c r="I1021" t="s"/>
      <c r="J1021" t="n">
        <v>0.296</v>
      </c>
      <c r="K1021" t="n">
        <v>0</v>
      </c>
      <c r="L1021" t="n">
        <v>0.855</v>
      </c>
      <c r="M1021" t="n">
        <v>0.145</v>
      </c>
    </row>
    <row r="1022" spans="1:13">
      <c r="A1022" s="1">
        <f>HYPERLINK("http://www.twitter.com/NathanBLawrence/status/965607461217501184", "965607461217501184")</f>
        <v/>
      </c>
      <c r="B1022" s="2" t="n">
        <v>43150.64042824074</v>
      </c>
      <c r="C1022" t="n">
        <v>0</v>
      </c>
      <c r="D1022" t="n">
        <v>0</v>
      </c>
      <c r="E1022" t="s">
        <v>1033</v>
      </c>
      <c r="F1022" t="s"/>
      <c r="G1022" t="s"/>
      <c r="H1022" t="s"/>
      <c r="I1022" t="s"/>
      <c r="J1022" t="n">
        <v>-0.5994</v>
      </c>
      <c r="K1022" t="n">
        <v>0.205</v>
      </c>
      <c r="L1022" t="n">
        <v>0.795</v>
      </c>
      <c r="M1022" t="n">
        <v>0</v>
      </c>
    </row>
    <row r="1023" spans="1:13">
      <c r="A1023" s="1">
        <f>HYPERLINK("http://www.twitter.com/NathanBLawrence/status/965601896168910850", "965601896168910850")</f>
        <v/>
      </c>
      <c r="B1023" s="2" t="n">
        <v>43150.62506944445</v>
      </c>
      <c r="C1023" t="n">
        <v>0</v>
      </c>
      <c r="D1023" t="n">
        <v>0</v>
      </c>
      <c r="E1023" t="s">
        <v>1034</v>
      </c>
      <c r="F1023" t="s"/>
      <c r="G1023" t="s"/>
      <c r="H1023" t="s"/>
      <c r="I1023" t="s"/>
      <c r="J1023" t="n">
        <v>0</v>
      </c>
      <c r="K1023" t="n">
        <v>0</v>
      </c>
      <c r="L1023" t="n">
        <v>1</v>
      </c>
      <c r="M1023" t="n">
        <v>0</v>
      </c>
    </row>
    <row r="1024" spans="1:13">
      <c r="A1024" s="1">
        <f>HYPERLINK("http://www.twitter.com/NathanBLawrence/status/965411850254012416", "965411850254012416")</f>
        <v/>
      </c>
      <c r="B1024" s="2" t="n">
        <v>43150.10064814815</v>
      </c>
      <c r="C1024" t="n">
        <v>0</v>
      </c>
      <c r="D1024" t="n">
        <v>0</v>
      </c>
      <c r="E1024" t="s">
        <v>1035</v>
      </c>
      <c r="F1024" t="s"/>
      <c r="G1024" t="s"/>
      <c r="H1024" t="s"/>
      <c r="I1024" t="s"/>
      <c r="J1024" t="n">
        <v>0.0772</v>
      </c>
      <c r="K1024" t="n">
        <v>0.067</v>
      </c>
      <c r="L1024" t="n">
        <v>0.856</v>
      </c>
      <c r="M1024" t="n">
        <v>0.076</v>
      </c>
    </row>
    <row r="1025" spans="1:13">
      <c r="A1025" s="1">
        <f>HYPERLINK("http://www.twitter.com/NathanBLawrence/status/965403344364802049", "965403344364802049")</f>
        <v/>
      </c>
      <c r="B1025" s="2" t="n">
        <v>43150.07717592592</v>
      </c>
      <c r="C1025" t="n">
        <v>0</v>
      </c>
      <c r="D1025" t="n">
        <v>0</v>
      </c>
      <c r="E1025" t="s">
        <v>1036</v>
      </c>
      <c r="F1025" t="s"/>
      <c r="G1025" t="s"/>
      <c r="H1025" t="s"/>
      <c r="I1025" t="s"/>
      <c r="J1025" t="n">
        <v>-0.8934</v>
      </c>
      <c r="K1025" t="n">
        <v>0.314</v>
      </c>
      <c r="L1025" t="n">
        <v>0.579</v>
      </c>
      <c r="M1025" t="n">
        <v>0.106</v>
      </c>
    </row>
    <row r="1026" spans="1:13">
      <c r="A1026" s="1">
        <f>HYPERLINK("http://www.twitter.com/NathanBLawrence/status/965401943576399872", "965401943576399872")</f>
        <v/>
      </c>
      <c r="B1026" s="2" t="n">
        <v>43150.07331018519</v>
      </c>
      <c r="C1026" t="n">
        <v>0</v>
      </c>
      <c r="D1026" t="n">
        <v>0</v>
      </c>
      <c r="E1026" t="s">
        <v>1037</v>
      </c>
      <c r="F1026" t="s"/>
      <c r="G1026" t="s"/>
      <c r="H1026" t="s"/>
      <c r="I1026" t="s"/>
      <c r="J1026" t="n">
        <v>0.7699</v>
      </c>
      <c r="K1026" t="n">
        <v>0</v>
      </c>
      <c r="L1026" t="n">
        <v>0.796</v>
      </c>
      <c r="M1026" t="n">
        <v>0.204</v>
      </c>
    </row>
    <row r="1027" spans="1:13">
      <c r="A1027" s="1">
        <f>HYPERLINK("http://www.twitter.com/NathanBLawrence/status/965400055468494848", "965400055468494848")</f>
        <v/>
      </c>
      <c r="B1027" s="2" t="n">
        <v>43150.06810185185</v>
      </c>
      <c r="C1027" t="n">
        <v>0</v>
      </c>
      <c r="D1027" t="n">
        <v>0</v>
      </c>
      <c r="E1027" t="s">
        <v>1038</v>
      </c>
      <c r="F1027" t="s"/>
      <c r="G1027" t="s"/>
      <c r="H1027" t="s"/>
      <c r="I1027" t="s"/>
      <c r="J1027" t="n">
        <v>0</v>
      </c>
      <c r="K1027" t="n">
        <v>0</v>
      </c>
      <c r="L1027" t="n">
        <v>1</v>
      </c>
      <c r="M1027" t="n">
        <v>0</v>
      </c>
    </row>
    <row r="1028" spans="1:13">
      <c r="A1028" s="1">
        <f>HYPERLINK("http://www.twitter.com/NathanBLawrence/status/965398856027557888", "965398856027557888")</f>
        <v/>
      </c>
      <c r="B1028" s="2" t="n">
        <v>43150.06479166666</v>
      </c>
      <c r="C1028" t="n">
        <v>0</v>
      </c>
      <c r="D1028" t="n">
        <v>0</v>
      </c>
      <c r="E1028" t="s">
        <v>1039</v>
      </c>
      <c r="F1028" t="s"/>
      <c r="G1028" t="s"/>
      <c r="H1028" t="s"/>
      <c r="I1028" t="s"/>
      <c r="J1028" t="n">
        <v>0.5266999999999999</v>
      </c>
      <c r="K1028" t="n">
        <v>0.092</v>
      </c>
      <c r="L1028" t="n">
        <v>0.6850000000000001</v>
      </c>
      <c r="M1028" t="n">
        <v>0.223</v>
      </c>
    </row>
    <row r="1029" spans="1:13">
      <c r="A1029" s="1">
        <f>HYPERLINK("http://www.twitter.com/NathanBLawrence/status/965385508842102784", "965385508842102784")</f>
        <v/>
      </c>
      <c r="B1029" s="2" t="n">
        <v>43150.02795138889</v>
      </c>
      <c r="C1029" t="n">
        <v>0</v>
      </c>
      <c r="D1029" t="n">
        <v>0</v>
      </c>
      <c r="E1029" t="s">
        <v>1040</v>
      </c>
      <c r="F1029" t="s"/>
      <c r="G1029" t="s"/>
      <c r="H1029" t="s"/>
      <c r="I1029" t="s"/>
      <c r="J1029" t="n">
        <v>0</v>
      </c>
      <c r="K1029" t="n">
        <v>0</v>
      </c>
      <c r="L1029" t="n">
        <v>1</v>
      </c>
      <c r="M1029" t="n">
        <v>0</v>
      </c>
    </row>
    <row r="1030" spans="1:13">
      <c r="A1030" s="1">
        <f>HYPERLINK("http://www.twitter.com/NathanBLawrence/status/965384935824592896", "965384935824592896")</f>
        <v/>
      </c>
      <c r="B1030" s="2" t="n">
        <v>43150.02637731482</v>
      </c>
      <c r="C1030" t="n">
        <v>0</v>
      </c>
      <c r="D1030" t="n">
        <v>0</v>
      </c>
      <c r="E1030" t="s">
        <v>1041</v>
      </c>
      <c r="F1030" t="s"/>
      <c r="G1030" t="s"/>
      <c r="H1030" t="s"/>
      <c r="I1030" t="s"/>
      <c r="J1030" t="n">
        <v>0</v>
      </c>
      <c r="K1030" t="n">
        <v>0</v>
      </c>
      <c r="L1030" t="n">
        <v>1</v>
      </c>
      <c r="M1030" t="n">
        <v>0</v>
      </c>
    </row>
    <row r="1031" spans="1:13">
      <c r="A1031" s="1">
        <f>HYPERLINK("http://www.twitter.com/NathanBLawrence/status/965293755480924160", "965293755480924160")</f>
        <v/>
      </c>
      <c r="B1031" s="2" t="n">
        <v>43149.77476851852</v>
      </c>
      <c r="C1031" t="n">
        <v>1</v>
      </c>
      <c r="D1031" t="n">
        <v>0</v>
      </c>
      <c r="E1031" t="s">
        <v>1042</v>
      </c>
      <c r="F1031" t="s"/>
      <c r="G1031" t="s"/>
      <c r="H1031" t="s"/>
      <c r="I1031" t="s"/>
      <c r="J1031" t="n">
        <v>0</v>
      </c>
      <c r="K1031" t="n">
        <v>0</v>
      </c>
      <c r="L1031" t="n">
        <v>1</v>
      </c>
      <c r="M1031" t="n">
        <v>0</v>
      </c>
    </row>
    <row r="1032" spans="1:13">
      <c r="A1032" s="1">
        <f>HYPERLINK("http://www.twitter.com/NathanBLawrence/status/965260141686874112", "965260141686874112")</f>
        <v/>
      </c>
      <c r="B1032" s="2" t="n">
        <v>43149.68201388889</v>
      </c>
      <c r="C1032" t="n">
        <v>0</v>
      </c>
      <c r="D1032" t="n">
        <v>82974</v>
      </c>
      <c r="E1032" t="s">
        <v>1043</v>
      </c>
      <c r="F1032">
        <f>HYPERLINK("http://pbs.twimg.com/media/DWMeZtOWsAAR9Nq.jpg", "http://pbs.twimg.com/media/DWMeZtOWsAAR9Nq.jpg")</f>
        <v/>
      </c>
      <c r="G1032">
        <f>HYPERLINK("http://pbs.twimg.com/media/DWMedqYWsAEAez7.jpg", "http://pbs.twimg.com/media/DWMedqYWsAEAez7.jpg")</f>
        <v/>
      </c>
      <c r="H1032" t="s"/>
      <c r="I1032" t="s"/>
      <c r="J1032" t="n">
        <v>-0.296</v>
      </c>
      <c r="K1032" t="n">
        <v>0.08699999999999999</v>
      </c>
      <c r="L1032" t="n">
        <v>0.913</v>
      </c>
      <c r="M1032" t="n">
        <v>0</v>
      </c>
    </row>
    <row r="1033" spans="1:13">
      <c r="A1033" s="1">
        <f>HYPERLINK("http://www.twitter.com/NathanBLawrence/status/965253894304608256", "965253894304608256")</f>
        <v/>
      </c>
      <c r="B1033" s="2" t="n">
        <v>43149.66476851852</v>
      </c>
      <c r="C1033" t="n">
        <v>1</v>
      </c>
      <c r="D1033" t="n">
        <v>1</v>
      </c>
      <c r="E1033" t="s">
        <v>1044</v>
      </c>
      <c r="F1033" t="s"/>
      <c r="G1033" t="s"/>
      <c r="H1033" t="s"/>
      <c r="I1033" t="s"/>
      <c r="J1033" t="n">
        <v>0</v>
      </c>
      <c r="K1033" t="n">
        <v>0</v>
      </c>
      <c r="L1033" t="n">
        <v>1</v>
      </c>
      <c r="M1033" t="n">
        <v>0</v>
      </c>
    </row>
    <row r="1034" spans="1:13">
      <c r="A1034" s="1">
        <f>HYPERLINK("http://www.twitter.com/NathanBLawrence/status/965252245267808256", "965252245267808256")</f>
        <v/>
      </c>
      <c r="B1034" s="2" t="n">
        <v>43149.6602199074</v>
      </c>
      <c r="C1034" t="n">
        <v>2</v>
      </c>
      <c r="D1034" t="n">
        <v>0</v>
      </c>
      <c r="E1034" t="s">
        <v>1045</v>
      </c>
      <c r="F1034" t="s"/>
      <c r="G1034" t="s"/>
      <c r="H1034" t="s"/>
      <c r="I1034" t="s"/>
      <c r="J1034" t="n">
        <v>0.2691</v>
      </c>
      <c r="K1034" t="n">
        <v>0.057</v>
      </c>
      <c r="L1034" t="n">
        <v>0.858</v>
      </c>
      <c r="M1034" t="n">
        <v>0.08599999999999999</v>
      </c>
    </row>
    <row r="1035" spans="1:13">
      <c r="A1035" s="1">
        <f>HYPERLINK("http://www.twitter.com/NathanBLawrence/status/965084173902974977", "965084173902974977")</f>
        <v/>
      </c>
      <c r="B1035" s="2" t="n">
        <v>43149.19643518519</v>
      </c>
      <c r="C1035" t="n">
        <v>0</v>
      </c>
      <c r="D1035" t="n">
        <v>26567</v>
      </c>
      <c r="E1035" t="s">
        <v>1046</v>
      </c>
      <c r="F1035" t="s"/>
      <c r="G1035" t="s"/>
      <c r="H1035" t="s"/>
      <c r="I1035" t="s"/>
      <c r="J1035" t="n">
        <v>0</v>
      </c>
      <c r="K1035" t="n">
        <v>0</v>
      </c>
      <c r="L1035" t="n">
        <v>1</v>
      </c>
      <c r="M1035" t="n">
        <v>0</v>
      </c>
    </row>
    <row r="1036" spans="1:13">
      <c r="A1036" s="1">
        <f>HYPERLINK("http://www.twitter.com/NathanBLawrence/status/965084088406368256", "965084088406368256")</f>
        <v/>
      </c>
      <c r="B1036" s="2" t="n">
        <v>43149.19619212963</v>
      </c>
      <c r="C1036" t="n">
        <v>2</v>
      </c>
      <c r="D1036" t="n">
        <v>1</v>
      </c>
      <c r="E1036" t="s">
        <v>1047</v>
      </c>
      <c r="F1036" t="s"/>
      <c r="G1036" t="s"/>
      <c r="H1036" t="s"/>
      <c r="I1036" t="s"/>
      <c r="J1036" t="n">
        <v>0.5951</v>
      </c>
      <c r="K1036" t="n">
        <v>0</v>
      </c>
      <c r="L1036" t="n">
        <v>0.699</v>
      </c>
      <c r="M1036" t="n">
        <v>0.301</v>
      </c>
    </row>
    <row r="1037" spans="1:13">
      <c r="A1037" s="1">
        <f>HYPERLINK("http://www.twitter.com/NathanBLawrence/status/965082252316114944", "965082252316114944")</f>
        <v/>
      </c>
      <c r="B1037" s="2" t="n">
        <v>43149.19112268519</v>
      </c>
      <c r="C1037" t="n">
        <v>0</v>
      </c>
      <c r="D1037" t="n">
        <v>0</v>
      </c>
      <c r="E1037" t="s">
        <v>1048</v>
      </c>
      <c r="F1037" t="s"/>
      <c r="G1037" t="s"/>
      <c r="H1037" t="s"/>
      <c r="I1037" t="s"/>
      <c r="J1037" t="n">
        <v>-0.3412</v>
      </c>
      <c r="K1037" t="n">
        <v>0.231</v>
      </c>
      <c r="L1037" t="n">
        <v>0.769</v>
      </c>
      <c r="M1037" t="n">
        <v>0</v>
      </c>
    </row>
    <row r="1038" spans="1:13">
      <c r="A1038" s="1">
        <f>HYPERLINK("http://www.twitter.com/NathanBLawrence/status/964931574566449154", "964931574566449154")</f>
        <v/>
      </c>
      <c r="B1038" s="2" t="n">
        <v>43148.77533564815</v>
      </c>
      <c r="C1038" t="n">
        <v>0</v>
      </c>
      <c r="D1038" t="n">
        <v>0</v>
      </c>
      <c r="E1038" t="s">
        <v>1049</v>
      </c>
      <c r="F1038" t="s"/>
      <c r="G1038" t="s"/>
      <c r="H1038" t="s"/>
      <c r="I1038" t="s"/>
      <c r="J1038" t="n">
        <v>0</v>
      </c>
      <c r="K1038" t="n">
        <v>0</v>
      </c>
      <c r="L1038" t="n">
        <v>1</v>
      </c>
      <c r="M1038" t="n">
        <v>0</v>
      </c>
    </row>
    <row r="1039" spans="1:13">
      <c r="A1039" s="1">
        <f>HYPERLINK("http://www.twitter.com/NathanBLawrence/status/964931384421879808", "964931384421879808")</f>
        <v/>
      </c>
      <c r="B1039" s="2" t="n">
        <v>43148.77481481482</v>
      </c>
      <c r="C1039" t="n">
        <v>0</v>
      </c>
      <c r="D1039" t="n">
        <v>36</v>
      </c>
      <c r="E1039" t="s">
        <v>1050</v>
      </c>
      <c r="F1039" t="s"/>
      <c r="G1039" t="s"/>
      <c r="H1039" t="s"/>
      <c r="I1039" t="s"/>
      <c r="J1039" t="n">
        <v>-0.4939</v>
      </c>
      <c r="K1039" t="n">
        <v>0.154</v>
      </c>
      <c r="L1039" t="n">
        <v>0.794</v>
      </c>
      <c r="M1039" t="n">
        <v>0.051</v>
      </c>
    </row>
    <row r="1040" spans="1:13">
      <c r="A1040" s="1">
        <f>HYPERLINK("http://www.twitter.com/NathanBLawrence/status/964929931481411586", "964929931481411586")</f>
        <v/>
      </c>
      <c r="B1040" s="2" t="n">
        <v>43148.77079861111</v>
      </c>
      <c r="C1040" t="n">
        <v>0</v>
      </c>
      <c r="D1040" t="n">
        <v>37</v>
      </c>
      <c r="E1040" t="s">
        <v>1051</v>
      </c>
      <c r="F1040" t="s"/>
      <c r="G1040" t="s"/>
      <c r="H1040" t="s"/>
      <c r="I1040" t="s"/>
      <c r="J1040" t="n">
        <v>0.4215</v>
      </c>
      <c r="K1040" t="n">
        <v>0</v>
      </c>
      <c r="L1040" t="n">
        <v>0.851</v>
      </c>
      <c r="M1040" t="n">
        <v>0.149</v>
      </c>
    </row>
    <row r="1041" spans="1:13">
      <c r="A1041" s="1">
        <f>HYPERLINK("http://www.twitter.com/NathanBLawrence/status/964917494069809152", "964917494069809152")</f>
        <v/>
      </c>
      <c r="B1041" s="2" t="n">
        <v>43148.73648148148</v>
      </c>
      <c r="C1041" t="n">
        <v>2</v>
      </c>
      <c r="D1041" t="n">
        <v>1</v>
      </c>
      <c r="E1041" t="s">
        <v>1052</v>
      </c>
      <c r="F1041" t="s"/>
      <c r="G1041" t="s"/>
      <c r="H1041" t="s"/>
      <c r="I1041" t="s"/>
      <c r="J1041" t="n">
        <v>0.6249</v>
      </c>
      <c r="K1041" t="n">
        <v>0</v>
      </c>
      <c r="L1041" t="n">
        <v>0.662</v>
      </c>
      <c r="M1041" t="n">
        <v>0.338</v>
      </c>
    </row>
    <row r="1042" spans="1:13">
      <c r="A1042" s="1">
        <f>HYPERLINK("http://www.twitter.com/NathanBLawrence/status/964916832372252673", "964916832372252673")</f>
        <v/>
      </c>
      <c r="B1042" s="2" t="n">
        <v>43148.73465277778</v>
      </c>
      <c r="C1042" t="n">
        <v>0</v>
      </c>
      <c r="D1042" t="n">
        <v>0</v>
      </c>
      <c r="E1042" t="s">
        <v>1053</v>
      </c>
      <c r="F1042" t="s"/>
      <c r="G1042" t="s"/>
      <c r="H1042" t="s"/>
      <c r="I1042" t="s"/>
      <c r="J1042" t="n">
        <v>0.4019</v>
      </c>
      <c r="K1042" t="n">
        <v>0</v>
      </c>
      <c r="L1042" t="n">
        <v>0.526</v>
      </c>
      <c r="M1042" t="n">
        <v>0.474</v>
      </c>
    </row>
    <row r="1043" spans="1:13">
      <c r="A1043" s="1">
        <f>HYPERLINK("http://www.twitter.com/NathanBLawrence/status/964912565913636870", "964912565913636870")</f>
        <v/>
      </c>
      <c r="B1043" s="2" t="n">
        <v>43148.72288194444</v>
      </c>
      <c r="C1043" t="n">
        <v>1</v>
      </c>
      <c r="D1043" t="n">
        <v>0</v>
      </c>
      <c r="E1043" t="s">
        <v>1054</v>
      </c>
      <c r="F1043" t="s"/>
      <c r="G1043" t="s"/>
      <c r="H1043" t="s"/>
      <c r="I1043" t="s"/>
      <c r="J1043" t="n">
        <v>-0.3506</v>
      </c>
      <c r="K1043" t="n">
        <v>0.185</v>
      </c>
      <c r="L1043" t="n">
        <v>0.716</v>
      </c>
      <c r="M1043" t="n">
        <v>0.099</v>
      </c>
    </row>
    <row r="1044" spans="1:13">
      <c r="A1044" s="1">
        <f>HYPERLINK("http://www.twitter.com/NathanBLawrence/status/964912126052786176", "964912126052786176")</f>
        <v/>
      </c>
      <c r="B1044" s="2" t="n">
        <v>43148.72166666666</v>
      </c>
      <c r="C1044" t="n">
        <v>0</v>
      </c>
      <c r="D1044" t="n">
        <v>0</v>
      </c>
      <c r="E1044" t="s">
        <v>1055</v>
      </c>
      <c r="F1044" t="s"/>
      <c r="G1044" t="s"/>
      <c r="H1044" t="s"/>
      <c r="I1044" t="s"/>
      <c r="J1044" t="n">
        <v>0</v>
      </c>
      <c r="K1044" t="n">
        <v>0</v>
      </c>
      <c r="L1044" t="n">
        <v>1</v>
      </c>
      <c r="M1044" t="n">
        <v>0</v>
      </c>
    </row>
    <row r="1045" spans="1:13">
      <c r="A1045" s="1">
        <f>HYPERLINK("http://www.twitter.com/NathanBLawrence/status/964907899775537153", "964907899775537153")</f>
        <v/>
      </c>
      <c r="B1045" s="2" t="n">
        <v>43148.71001157408</v>
      </c>
      <c r="C1045" t="n">
        <v>0</v>
      </c>
      <c r="D1045" t="n">
        <v>0</v>
      </c>
      <c r="E1045" t="s">
        <v>1056</v>
      </c>
      <c r="F1045" t="s"/>
      <c r="G1045" t="s"/>
      <c r="H1045" t="s"/>
      <c r="I1045" t="s"/>
      <c r="J1045" t="n">
        <v>-0.3182</v>
      </c>
      <c r="K1045" t="n">
        <v>0.315</v>
      </c>
      <c r="L1045" t="n">
        <v>0.6850000000000001</v>
      </c>
      <c r="M1045" t="n">
        <v>0</v>
      </c>
    </row>
    <row r="1046" spans="1:13">
      <c r="A1046" s="1">
        <f>HYPERLINK("http://www.twitter.com/NathanBLawrence/status/964886048487673856", "964886048487673856")</f>
        <v/>
      </c>
      <c r="B1046" s="2" t="n">
        <v>43148.64971064815</v>
      </c>
      <c r="C1046" t="n">
        <v>0</v>
      </c>
      <c r="D1046" t="n">
        <v>0</v>
      </c>
      <c r="E1046" t="s">
        <v>1057</v>
      </c>
      <c r="F1046" t="s"/>
      <c r="G1046" t="s"/>
      <c r="H1046" t="s"/>
      <c r="I1046" t="s"/>
      <c r="J1046" t="n">
        <v>0.3638</v>
      </c>
      <c r="K1046" t="n">
        <v>0.096</v>
      </c>
      <c r="L1046" t="n">
        <v>0.721</v>
      </c>
      <c r="M1046" t="n">
        <v>0.182</v>
      </c>
    </row>
    <row r="1047" spans="1:13">
      <c r="A1047" s="1">
        <f>HYPERLINK("http://www.twitter.com/NathanBLawrence/status/964731670564888577", "964731670564888577")</f>
        <v/>
      </c>
      <c r="B1047" s="2" t="n">
        <v>43148.2237037037</v>
      </c>
      <c r="C1047" t="n">
        <v>0</v>
      </c>
      <c r="D1047" t="n">
        <v>0</v>
      </c>
      <c r="E1047" t="s">
        <v>1058</v>
      </c>
      <c r="F1047" t="s"/>
      <c r="G1047" t="s"/>
      <c r="H1047" t="s"/>
      <c r="I1047" t="s"/>
      <c r="J1047" t="n">
        <v>0</v>
      </c>
      <c r="K1047" t="n">
        <v>0</v>
      </c>
      <c r="L1047" t="n">
        <v>1</v>
      </c>
      <c r="M1047" t="n">
        <v>0</v>
      </c>
    </row>
    <row r="1048" spans="1:13">
      <c r="A1048" s="1">
        <f>HYPERLINK("http://www.twitter.com/NathanBLawrence/status/964727364856008705", "964727364856008705")</f>
        <v/>
      </c>
      <c r="B1048" s="2" t="n">
        <v>43148.2118287037</v>
      </c>
      <c r="C1048" t="n">
        <v>0</v>
      </c>
      <c r="D1048" t="n">
        <v>0</v>
      </c>
      <c r="E1048" t="s">
        <v>1059</v>
      </c>
      <c r="F1048" t="s"/>
      <c r="G1048" t="s"/>
      <c r="H1048" t="s"/>
      <c r="I1048" t="s"/>
      <c r="J1048" t="n">
        <v>0.296</v>
      </c>
      <c r="K1048" t="n">
        <v>0</v>
      </c>
      <c r="L1048" t="n">
        <v>0.845</v>
      </c>
      <c r="M1048" t="n">
        <v>0.155</v>
      </c>
    </row>
    <row r="1049" spans="1:13">
      <c r="A1049" s="1">
        <f>HYPERLINK("http://www.twitter.com/NathanBLawrence/status/964716260645834752", "964716260645834752")</f>
        <v/>
      </c>
      <c r="B1049" s="2" t="n">
        <v>43148.18118055556</v>
      </c>
      <c r="C1049" t="n">
        <v>1</v>
      </c>
      <c r="D1049" t="n">
        <v>1</v>
      </c>
      <c r="E1049" t="s">
        <v>1060</v>
      </c>
      <c r="F1049" t="s"/>
      <c r="G1049" t="s"/>
      <c r="H1049" t="s"/>
      <c r="I1049" t="s"/>
      <c r="J1049" t="n">
        <v>0</v>
      </c>
      <c r="K1049" t="n">
        <v>0</v>
      </c>
      <c r="L1049" t="n">
        <v>1</v>
      </c>
      <c r="M1049" t="n">
        <v>0</v>
      </c>
    </row>
    <row r="1050" spans="1:13">
      <c r="A1050" s="1">
        <f>HYPERLINK("http://www.twitter.com/NathanBLawrence/status/964715808420179968", "964715808420179968")</f>
        <v/>
      </c>
      <c r="B1050" s="2" t="n">
        <v>43148.17993055555</v>
      </c>
      <c r="C1050" t="n">
        <v>1</v>
      </c>
      <c r="D1050" t="n">
        <v>0</v>
      </c>
      <c r="E1050" t="s">
        <v>1061</v>
      </c>
      <c r="F1050" t="s"/>
      <c r="G1050" t="s"/>
      <c r="H1050" t="s"/>
      <c r="I1050" t="s"/>
      <c r="J1050" t="n">
        <v>0.3612</v>
      </c>
      <c r="K1050" t="n">
        <v>0</v>
      </c>
      <c r="L1050" t="n">
        <v>0.706</v>
      </c>
      <c r="M1050" t="n">
        <v>0.294</v>
      </c>
    </row>
    <row r="1051" spans="1:13">
      <c r="A1051" s="1">
        <f>HYPERLINK("http://www.twitter.com/NathanBLawrence/status/964612978204135424", "964612978204135424")</f>
        <v/>
      </c>
      <c r="B1051" s="2" t="n">
        <v>43147.89618055556</v>
      </c>
      <c r="C1051" t="n">
        <v>0</v>
      </c>
      <c r="D1051" t="n">
        <v>36394</v>
      </c>
      <c r="E1051" t="s">
        <v>1062</v>
      </c>
      <c r="F1051" t="s"/>
      <c r="G1051" t="s"/>
      <c r="H1051" t="s"/>
      <c r="I1051" t="s"/>
      <c r="J1051" t="n">
        <v>0</v>
      </c>
      <c r="K1051" t="n">
        <v>0</v>
      </c>
      <c r="L1051" t="n">
        <v>1</v>
      </c>
      <c r="M1051" t="n">
        <v>0</v>
      </c>
    </row>
    <row r="1052" spans="1:13">
      <c r="A1052" s="1">
        <f>HYPERLINK("http://www.twitter.com/NathanBLawrence/status/964595144988217344", "964595144988217344")</f>
        <v/>
      </c>
      <c r="B1052" s="2" t="n">
        <v>43147.8469675926</v>
      </c>
      <c r="C1052" t="n">
        <v>4</v>
      </c>
      <c r="D1052" t="n">
        <v>0</v>
      </c>
      <c r="E1052" t="s">
        <v>1063</v>
      </c>
      <c r="F1052" t="s"/>
      <c r="G1052" t="s"/>
      <c r="H1052" t="s"/>
      <c r="I1052" t="s"/>
      <c r="J1052" t="n">
        <v>0.4019</v>
      </c>
      <c r="K1052" t="n">
        <v>0</v>
      </c>
      <c r="L1052" t="n">
        <v>0.886</v>
      </c>
      <c r="M1052" t="n">
        <v>0.114</v>
      </c>
    </row>
    <row r="1053" spans="1:13">
      <c r="A1053" s="1">
        <f>HYPERLINK("http://www.twitter.com/NathanBLawrence/status/964568525045104642", "964568525045104642")</f>
        <v/>
      </c>
      <c r="B1053" s="2" t="n">
        <v>43147.77350694445</v>
      </c>
      <c r="C1053" t="n">
        <v>0</v>
      </c>
      <c r="D1053" t="n">
        <v>0</v>
      </c>
      <c r="E1053" t="s">
        <v>1064</v>
      </c>
      <c r="F1053" t="s"/>
      <c r="G1053" t="s"/>
      <c r="H1053" t="s"/>
      <c r="I1053" t="s"/>
      <c r="J1053" t="n">
        <v>0.4939</v>
      </c>
      <c r="K1053" t="n">
        <v>0</v>
      </c>
      <c r="L1053" t="n">
        <v>0.6860000000000001</v>
      </c>
      <c r="M1053" t="n">
        <v>0.314</v>
      </c>
    </row>
    <row r="1054" spans="1:13">
      <c r="A1054" s="1">
        <f>HYPERLINK("http://www.twitter.com/NathanBLawrence/status/964561863693553664", "964561863693553664")</f>
        <v/>
      </c>
      <c r="B1054" s="2" t="n">
        <v>43147.75512731481</v>
      </c>
      <c r="C1054" t="n">
        <v>0</v>
      </c>
      <c r="D1054" t="n">
        <v>0</v>
      </c>
      <c r="E1054" t="s">
        <v>1065</v>
      </c>
      <c r="F1054" t="s"/>
      <c r="G1054" t="s"/>
      <c r="H1054" t="s"/>
      <c r="I1054" t="s"/>
      <c r="J1054" t="n">
        <v>0</v>
      </c>
      <c r="K1054" t="n">
        <v>0</v>
      </c>
      <c r="L1054" t="n">
        <v>1</v>
      </c>
      <c r="M1054" t="n">
        <v>0</v>
      </c>
    </row>
    <row r="1055" spans="1:13">
      <c r="A1055" s="1">
        <f>HYPERLINK("http://www.twitter.com/NathanBLawrence/status/964495148393615360", "964495148393615360")</f>
        <v/>
      </c>
      <c r="B1055" s="2" t="n">
        <v>43147.57103009259</v>
      </c>
      <c r="C1055" t="n">
        <v>1</v>
      </c>
      <c r="D1055" t="n">
        <v>1</v>
      </c>
      <c r="E1055" t="s">
        <v>1066</v>
      </c>
      <c r="F1055" t="s"/>
      <c r="G1055" t="s"/>
      <c r="H1055" t="s"/>
      <c r="I1055" t="s"/>
      <c r="J1055" t="n">
        <v>0.6908</v>
      </c>
      <c r="K1055" t="n">
        <v>0</v>
      </c>
      <c r="L1055" t="n">
        <v>0.749</v>
      </c>
      <c r="M1055" t="n">
        <v>0.251</v>
      </c>
    </row>
    <row r="1056" spans="1:13">
      <c r="A1056" s="1">
        <f>HYPERLINK("http://www.twitter.com/NathanBLawrence/status/964344601988517888", "964344601988517888")</f>
        <v/>
      </c>
      <c r="B1056" s="2" t="n">
        <v>43147.15560185185</v>
      </c>
      <c r="C1056" t="n">
        <v>0</v>
      </c>
      <c r="D1056" t="n">
        <v>7867</v>
      </c>
      <c r="E1056" t="s">
        <v>1067</v>
      </c>
      <c r="F1056" t="s"/>
      <c r="G1056" t="s"/>
      <c r="H1056" t="s"/>
      <c r="I1056" t="s"/>
      <c r="J1056" t="n">
        <v>-0.8834</v>
      </c>
      <c r="K1056" t="n">
        <v>0.72</v>
      </c>
      <c r="L1056" t="n">
        <v>0.28</v>
      </c>
      <c r="M1056" t="n">
        <v>0</v>
      </c>
    </row>
    <row r="1057" spans="1:13">
      <c r="A1057" s="1">
        <f>HYPERLINK("http://www.twitter.com/NathanBLawrence/status/964304275164880902", "964304275164880902")</f>
        <v/>
      </c>
      <c r="B1057" s="2" t="n">
        <v>43147.04431712963</v>
      </c>
      <c r="C1057" t="n">
        <v>0</v>
      </c>
      <c r="D1057" t="n">
        <v>0</v>
      </c>
      <c r="E1057" t="s">
        <v>1068</v>
      </c>
      <c r="F1057" t="s"/>
      <c r="G1057" t="s"/>
      <c r="H1057" t="s"/>
      <c r="I1057" t="s"/>
      <c r="J1057" t="n">
        <v>-0.2732</v>
      </c>
      <c r="K1057" t="n">
        <v>0.344</v>
      </c>
      <c r="L1057" t="n">
        <v>0.656</v>
      </c>
      <c r="M1057" t="n">
        <v>0</v>
      </c>
    </row>
    <row r="1058" spans="1:13">
      <c r="A1058" s="1">
        <f>HYPERLINK("http://www.twitter.com/NathanBLawrence/status/964303739527028736", "964303739527028736")</f>
        <v/>
      </c>
      <c r="B1058" s="2" t="n">
        <v>43147.04284722222</v>
      </c>
      <c r="C1058" t="n">
        <v>2</v>
      </c>
      <c r="D1058" t="n">
        <v>0</v>
      </c>
      <c r="E1058" t="s">
        <v>1069</v>
      </c>
      <c r="F1058" t="s"/>
      <c r="G1058" t="s"/>
      <c r="H1058" t="s"/>
      <c r="I1058" t="s"/>
      <c r="J1058" t="n">
        <v>0.0828</v>
      </c>
      <c r="K1058" t="n">
        <v>0.12</v>
      </c>
      <c r="L1058" t="n">
        <v>0.6850000000000001</v>
      </c>
      <c r="M1058" t="n">
        <v>0.195</v>
      </c>
    </row>
    <row r="1059" spans="1:13">
      <c r="A1059" s="1">
        <f>HYPERLINK("http://www.twitter.com/NathanBLawrence/status/964300936536641537", "964300936536641537")</f>
        <v/>
      </c>
      <c r="B1059" s="2" t="n">
        <v>43147.03510416667</v>
      </c>
      <c r="C1059" t="n">
        <v>0</v>
      </c>
      <c r="D1059" t="n">
        <v>5</v>
      </c>
      <c r="E1059" t="s">
        <v>1070</v>
      </c>
      <c r="F1059" t="s"/>
      <c r="G1059" t="s"/>
      <c r="H1059" t="s"/>
      <c r="I1059" t="s"/>
      <c r="J1059" t="n">
        <v>-0.6249</v>
      </c>
      <c r="K1059" t="n">
        <v>0.231</v>
      </c>
      <c r="L1059" t="n">
        <v>0.769</v>
      </c>
      <c r="M1059" t="n">
        <v>0</v>
      </c>
    </row>
    <row r="1060" spans="1:13">
      <c r="A1060" s="1">
        <f>HYPERLINK("http://www.twitter.com/NathanBLawrence/status/964300461569343488", "964300461569343488")</f>
        <v/>
      </c>
      <c r="B1060" s="2" t="n">
        <v>43147.03379629629</v>
      </c>
      <c r="C1060" t="n">
        <v>1</v>
      </c>
      <c r="D1060" t="n">
        <v>0</v>
      </c>
      <c r="E1060" t="s">
        <v>1071</v>
      </c>
      <c r="F1060" t="s"/>
      <c r="G1060" t="s"/>
      <c r="H1060" t="s"/>
      <c r="I1060" t="s"/>
      <c r="J1060" t="n">
        <v>-0.8519</v>
      </c>
      <c r="K1060" t="n">
        <v>0.306</v>
      </c>
      <c r="L1060" t="n">
        <v>0.652</v>
      </c>
      <c r="M1060" t="n">
        <v>0.042</v>
      </c>
    </row>
    <row r="1061" spans="1:13">
      <c r="A1061" s="1">
        <f>HYPERLINK("http://www.twitter.com/NathanBLawrence/status/964250777870008320", "964250777870008320")</f>
        <v/>
      </c>
      <c r="B1061" s="2" t="n">
        <v>43146.89670138889</v>
      </c>
      <c r="C1061" t="n">
        <v>0</v>
      </c>
      <c r="D1061" t="n">
        <v>0</v>
      </c>
      <c r="E1061" t="s">
        <v>1072</v>
      </c>
      <c r="F1061" t="s"/>
      <c r="G1061" t="s"/>
      <c r="H1061" t="s"/>
      <c r="I1061" t="s"/>
      <c r="J1061" t="n">
        <v>0</v>
      </c>
      <c r="K1061" t="n">
        <v>0</v>
      </c>
      <c r="L1061" t="n">
        <v>1</v>
      </c>
      <c r="M1061" t="n">
        <v>0</v>
      </c>
    </row>
    <row r="1062" spans="1:13">
      <c r="A1062" s="1">
        <f>HYPERLINK("http://www.twitter.com/NathanBLawrence/status/964243709163462657", "964243709163462657")</f>
        <v/>
      </c>
      <c r="B1062" s="2" t="n">
        <v>43146.8771875</v>
      </c>
      <c r="C1062" t="n">
        <v>0</v>
      </c>
      <c r="D1062" t="n">
        <v>0</v>
      </c>
      <c r="E1062" t="s">
        <v>1073</v>
      </c>
      <c r="F1062" t="s"/>
      <c r="G1062" t="s"/>
      <c r="H1062" t="s"/>
      <c r="I1062" t="s"/>
      <c r="J1062" t="n">
        <v>0</v>
      </c>
      <c r="K1062" t="n">
        <v>0</v>
      </c>
      <c r="L1062" t="n">
        <v>1</v>
      </c>
      <c r="M1062" t="n">
        <v>0</v>
      </c>
    </row>
    <row r="1063" spans="1:13">
      <c r="A1063" s="1">
        <f>HYPERLINK("http://www.twitter.com/NathanBLawrence/status/964199477388218369", "964199477388218369")</f>
        <v/>
      </c>
      <c r="B1063" s="2" t="n">
        <v>43146.75513888889</v>
      </c>
      <c r="C1063" t="n">
        <v>1</v>
      </c>
      <c r="D1063" t="n">
        <v>0</v>
      </c>
      <c r="E1063" t="s">
        <v>1074</v>
      </c>
      <c r="F1063" t="s"/>
      <c r="G1063" t="s"/>
      <c r="H1063" t="s"/>
      <c r="I1063" t="s"/>
      <c r="J1063" t="n">
        <v>0</v>
      </c>
      <c r="K1063" t="n">
        <v>0</v>
      </c>
      <c r="L1063" t="n">
        <v>1</v>
      </c>
      <c r="M1063" t="n">
        <v>0</v>
      </c>
    </row>
    <row r="1064" spans="1:13">
      <c r="A1064" s="1">
        <f>HYPERLINK("http://www.twitter.com/NathanBLawrence/status/964183148891398144", "964183148891398144")</f>
        <v/>
      </c>
      <c r="B1064" s="2" t="n">
        <v>43146.71008101852</v>
      </c>
      <c r="C1064" t="n">
        <v>0</v>
      </c>
      <c r="D1064" t="n">
        <v>0</v>
      </c>
      <c r="E1064" t="s">
        <v>1075</v>
      </c>
      <c r="F1064" t="s"/>
      <c r="G1064" t="s"/>
      <c r="H1064" t="s"/>
      <c r="I1064" t="s"/>
      <c r="J1064" t="n">
        <v>0</v>
      </c>
      <c r="K1064" t="n">
        <v>0</v>
      </c>
      <c r="L1064" t="n">
        <v>1</v>
      </c>
      <c r="M1064" t="n">
        <v>0</v>
      </c>
    </row>
    <row r="1065" spans="1:13">
      <c r="A1065" s="1">
        <f>HYPERLINK("http://www.twitter.com/NathanBLawrence/status/964182722133610497", "964182722133610497")</f>
        <v/>
      </c>
      <c r="B1065" s="2" t="n">
        <v>43146.70890046296</v>
      </c>
      <c r="C1065" t="n">
        <v>1</v>
      </c>
      <c r="D1065" t="n">
        <v>0</v>
      </c>
      <c r="E1065" t="s">
        <v>1076</v>
      </c>
      <c r="F1065" t="s"/>
      <c r="G1065" t="s"/>
      <c r="H1065" t="s"/>
      <c r="I1065" t="s"/>
      <c r="J1065" t="n">
        <v>0</v>
      </c>
      <c r="K1065" t="n">
        <v>0</v>
      </c>
      <c r="L1065" t="n">
        <v>1</v>
      </c>
      <c r="M1065" t="n">
        <v>0</v>
      </c>
    </row>
    <row r="1066" spans="1:13">
      <c r="A1066" s="1">
        <f>HYPERLINK("http://www.twitter.com/NathanBLawrence/status/964182221614698496", "964182221614698496")</f>
        <v/>
      </c>
      <c r="B1066" s="2" t="n">
        <v>43146.70751157407</v>
      </c>
      <c r="C1066" t="n">
        <v>0</v>
      </c>
      <c r="D1066" t="n">
        <v>0</v>
      </c>
      <c r="E1066" t="s">
        <v>1077</v>
      </c>
      <c r="F1066" t="s"/>
      <c r="G1066" t="s"/>
      <c r="H1066" t="s"/>
      <c r="I1066" t="s"/>
      <c r="J1066" t="n">
        <v>-0.628</v>
      </c>
      <c r="K1066" t="n">
        <v>0.303</v>
      </c>
      <c r="L1066" t="n">
        <v>0.577</v>
      </c>
      <c r="M1066" t="n">
        <v>0.12</v>
      </c>
    </row>
    <row r="1067" spans="1:13">
      <c r="A1067" s="1">
        <f>HYPERLINK("http://www.twitter.com/NathanBLawrence/status/964170559415291904", "964170559415291904")</f>
        <v/>
      </c>
      <c r="B1067" s="2" t="n">
        <v>43146.67533564815</v>
      </c>
      <c r="C1067" t="n">
        <v>1</v>
      </c>
      <c r="D1067" t="n">
        <v>0</v>
      </c>
      <c r="E1067" t="s">
        <v>1078</v>
      </c>
      <c r="F1067" t="s"/>
      <c r="G1067" t="s"/>
      <c r="H1067" t="s"/>
      <c r="I1067" t="s"/>
      <c r="J1067" t="n">
        <v>0.5574</v>
      </c>
      <c r="K1067" t="n">
        <v>0</v>
      </c>
      <c r="L1067" t="n">
        <v>0.6899999999999999</v>
      </c>
      <c r="M1067" t="n">
        <v>0.31</v>
      </c>
    </row>
    <row r="1068" spans="1:13">
      <c r="A1068" s="1">
        <f>HYPERLINK("http://www.twitter.com/NathanBLawrence/status/964170043478237184", "964170043478237184")</f>
        <v/>
      </c>
      <c r="B1068" s="2" t="n">
        <v>43146.67391203704</v>
      </c>
      <c r="C1068" t="n">
        <v>1</v>
      </c>
      <c r="D1068" t="n">
        <v>0</v>
      </c>
      <c r="E1068" t="s">
        <v>1079</v>
      </c>
      <c r="F1068" t="s"/>
      <c r="G1068" t="s"/>
      <c r="H1068" t="s"/>
      <c r="I1068" t="s"/>
      <c r="J1068" t="n">
        <v>-0.6219</v>
      </c>
      <c r="K1068" t="n">
        <v>0.576</v>
      </c>
      <c r="L1068" t="n">
        <v>0.424</v>
      </c>
      <c r="M1068" t="n">
        <v>0</v>
      </c>
    </row>
    <row r="1069" spans="1:13">
      <c r="A1069" s="1">
        <f>HYPERLINK("http://www.twitter.com/NathanBLawrence/status/964154709207584769", "964154709207584769")</f>
        <v/>
      </c>
      <c r="B1069" s="2" t="n">
        <v>43146.63159722222</v>
      </c>
      <c r="C1069" t="n">
        <v>1</v>
      </c>
      <c r="D1069" t="n">
        <v>0</v>
      </c>
      <c r="E1069" t="s">
        <v>1080</v>
      </c>
      <c r="F1069" t="s"/>
      <c r="G1069" t="s"/>
      <c r="H1069" t="s"/>
      <c r="I1069" t="s"/>
      <c r="J1069" t="n">
        <v>0.3182</v>
      </c>
      <c r="K1069" t="n">
        <v>0</v>
      </c>
      <c r="L1069" t="n">
        <v>0.944</v>
      </c>
      <c r="M1069" t="n">
        <v>0.056</v>
      </c>
    </row>
    <row r="1070" spans="1:13">
      <c r="A1070" s="1">
        <f>HYPERLINK("http://www.twitter.com/NathanBLawrence/status/964144015590469635", "964144015590469635")</f>
        <v/>
      </c>
      <c r="B1070" s="2" t="n">
        <v>43146.60208333333</v>
      </c>
      <c r="C1070" t="n">
        <v>0</v>
      </c>
      <c r="D1070" t="n">
        <v>0</v>
      </c>
      <c r="E1070" t="s">
        <v>1081</v>
      </c>
      <c r="F1070" t="s"/>
      <c r="G1070" t="s"/>
      <c r="H1070" t="s"/>
      <c r="I1070" t="s"/>
      <c r="J1070" t="n">
        <v>0</v>
      </c>
      <c r="K1070" t="n">
        <v>0</v>
      </c>
      <c r="L1070" t="n">
        <v>1</v>
      </c>
      <c r="M1070" t="n">
        <v>0</v>
      </c>
    </row>
    <row r="1071" spans="1:13">
      <c r="A1071" s="1">
        <f>HYPERLINK("http://www.twitter.com/NathanBLawrence/status/963949575227789312", "963949575227789312")</f>
        <v/>
      </c>
      <c r="B1071" s="2" t="n">
        <v>43146.06553240741</v>
      </c>
      <c r="C1071" t="n">
        <v>1</v>
      </c>
      <c r="D1071" t="n">
        <v>0</v>
      </c>
      <c r="E1071" t="s">
        <v>1082</v>
      </c>
      <c r="F1071" t="s"/>
      <c r="G1071" t="s"/>
      <c r="H1071" t="s"/>
      <c r="I1071" t="s"/>
      <c r="J1071" t="n">
        <v>-0.5216</v>
      </c>
      <c r="K1071" t="n">
        <v>0.402</v>
      </c>
      <c r="L1071" t="n">
        <v>0.598</v>
      </c>
      <c r="M1071" t="n">
        <v>0</v>
      </c>
    </row>
    <row r="1072" spans="1:13">
      <c r="A1072" s="1">
        <f>HYPERLINK("http://www.twitter.com/NathanBLawrence/status/963943334669582337", "963943334669582337")</f>
        <v/>
      </c>
      <c r="B1072" s="2" t="n">
        <v>43146.04831018519</v>
      </c>
      <c r="C1072" t="n">
        <v>0</v>
      </c>
      <c r="D1072" t="n">
        <v>1</v>
      </c>
      <c r="E1072" t="s">
        <v>1083</v>
      </c>
      <c r="F1072" t="s"/>
      <c r="G1072" t="s"/>
      <c r="H1072" t="s"/>
      <c r="I1072" t="s"/>
      <c r="J1072" t="n">
        <v>0</v>
      </c>
      <c r="K1072" t="n">
        <v>0</v>
      </c>
      <c r="L1072" t="n">
        <v>1</v>
      </c>
      <c r="M1072" t="n">
        <v>0</v>
      </c>
    </row>
    <row r="1073" spans="1:13">
      <c r="A1073" s="1">
        <f>HYPERLINK("http://www.twitter.com/NathanBLawrence/status/963930589165441025", "963930589165441025")</f>
        <v/>
      </c>
      <c r="B1073" s="2" t="n">
        <v>43146.01314814815</v>
      </c>
      <c r="C1073" t="n">
        <v>0</v>
      </c>
      <c r="D1073" t="n">
        <v>0</v>
      </c>
      <c r="E1073" t="s">
        <v>1084</v>
      </c>
      <c r="F1073" t="s"/>
      <c r="G1073" t="s"/>
      <c r="H1073" t="s"/>
      <c r="I1073" t="s"/>
      <c r="J1073" t="n">
        <v>0</v>
      </c>
      <c r="K1073" t="n">
        <v>0</v>
      </c>
      <c r="L1073" t="n">
        <v>1</v>
      </c>
      <c r="M1073" t="n">
        <v>0</v>
      </c>
    </row>
    <row r="1074" spans="1:13">
      <c r="A1074" s="1">
        <f>HYPERLINK("http://www.twitter.com/NathanBLawrence/status/963925765623635968", "963925765623635968")</f>
        <v/>
      </c>
      <c r="B1074" s="2" t="n">
        <v>43145.99983796296</v>
      </c>
      <c r="C1074" t="n">
        <v>0</v>
      </c>
      <c r="D1074" t="n">
        <v>558</v>
      </c>
      <c r="E1074" t="s">
        <v>1085</v>
      </c>
      <c r="F1074" t="s"/>
      <c r="G1074" t="s"/>
      <c r="H1074" t="s"/>
      <c r="I1074" t="s"/>
      <c r="J1074" t="n">
        <v>0.3818</v>
      </c>
      <c r="K1074" t="n">
        <v>0</v>
      </c>
      <c r="L1074" t="n">
        <v>0.874</v>
      </c>
      <c r="M1074" t="n">
        <v>0.126</v>
      </c>
    </row>
    <row r="1075" spans="1:13">
      <c r="A1075" s="1">
        <f>HYPERLINK("http://www.twitter.com/NathanBLawrence/status/963922743656894464", "963922743656894464")</f>
        <v/>
      </c>
      <c r="B1075" s="2" t="n">
        <v>43145.99149305555</v>
      </c>
      <c r="C1075" t="n">
        <v>0</v>
      </c>
      <c r="D1075" t="n">
        <v>19012</v>
      </c>
      <c r="E1075" t="s">
        <v>1086</v>
      </c>
      <c r="F1075" t="s"/>
      <c r="G1075" t="s"/>
      <c r="H1075" t="s"/>
      <c r="I1075" t="s"/>
      <c r="J1075" t="n">
        <v>-0.4767</v>
      </c>
      <c r="K1075" t="n">
        <v>0.134</v>
      </c>
      <c r="L1075" t="n">
        <v>0.866</v>
      </c>
      <c r="M1075" t="n">
        <v>0</v>
      </c>
    </row>
    <row r="1076" spans="1:13">
      <c r="A1076" s="1">
        <f>HYPERLINK("http://www.twitter.com/NathanBLawrence/status/963891253774610433", "963891253774610433")</f>
        <v/>
      </c>
      <c r="B1076" s="2" t="n">
        <v>43145.90459490741</v>
      </c>
      <c r="C1076" t="n">
        <v>0</v>
      </c>
      <c r="D1076" t="n">
        <v>6</v>
      </c>
      <c r="E1076" t="s">
        <v>1087</v>
      </c>
      <c r="F1076">
        <f>HYPERLINK("http://pbs.twimg.com/media/DWBt0BBVAAE04ka.jpg", "http://pbs.twimg.com/media/DWBt0BBVAAE04ka.jpg")</f>
        <v/>
      </c>
      <c r="G1076" t="s"/>
      <c r="H1076" t="s"/>
      <c r="I1076" t="s"/>
      <c r="J1076" t="n">
        <v>0.34</v>
      </c>
      <c r="K1076" t="n">
        <v>0.155</v>
      </c>
      <c r="L1076" t="n">
        <v>0.608</v>
      </c>
      <c r="M1076" t="n">
        <v>0.236</v>
      </c>
    </row>
    <row r="1077" spans="1:13">
      <c r="A1077" s="1">
        <f>HYPERLINK("http://www.twitter.com/NathanBLawrence/status/963890958218747907", "963890958218747907")</f>
        <v/>
      </c>
      <c r="B1077" s="2" t="n">
        <v>43145.90378472222</v>
      </c>
      <c r="C1077" t="n">
        <v>0</v>
      </c>
      <c r="D1077" t="n">
        <v>0</v>
      </c>
      <c r="E1077" t="s">
        <v>1088</v>
      </c>
      <c r="F1077" t="s"/>
      <c r="G1077" t="s"/>
      <c r="H1077" t="s"/>
      <c r="I1077" t="s"/>
      <c r="J1077" t="n">
        <v>0</v>
      </c>
      <c r="K1077" t="n">
        <v>0</v>
      </c>
      <c r="L1077" t="n">
        <v>1</v>
      </c>
      <c r="M1077" t="n">
        <v>0</v>
      </c>
    </row>
    <row r="1078" spans="1:13">
      <c r="A1078" s="1">
        <f>HYPERLINK("http://www.twitter.com/NathanBLawrence/status/963889193381498880", "963889193381498880")</f>
        <v/>
      </c>
      <c r="B1078" s="2" t="n">
        <v>43145.89891203704</v>
      </c>
      <c r="C1078" t="n">
        <v>0</v>
      </c>
      <c r="D1078" t="n">
        <v>0</v>
      </c>
      <c r="E1078" t="s">
        <v>1089</v>
      </c>
      <c r="F1078" t="s"/>
      <c r="G1078" t="s"/>
      <c r="H1078" t="s"/>
      <c r="I1078" t="s"/>
      <c r="J1078" t="n">
        <v>-0.4767</v>
      </c>
      <c r="K1078" t="n">
        <v>0.508</v>
      </c>
      <c r="L1078" t="n">
        <v>0.492</v>
      </c>
      <c r="M1078" t="n">
        <v>0</v>
      </c>
    </row>
    <row r="1079" spans="1:13">
      <c r="A1079" s="1">
        <f>HYPERLINK("http://www.twitter.com/NathanBLawrence/status/963887288664064005", "963887288664064005")</f>
        <v/>
      </c>
      <c r="B1079" s="2" t="n">
        <v>43145.89365740741</v>
      </c>
      <c r="C1079" t="n">
        <v>0</v>
      </c>
      <c r="D1079" t="n">
        <v>38613</v>
      </c>
      <c r="E1079" t="s">
        <v>1090</v>
      </c>
      <c r="F1079" t="s"/>
      <c r="G1079" t="s"/>
      <c r="H1079" t="s"/>
      <c r="I1079" t="s"/>
      <c r="J1079" t="n">
        <v>-0.765</v>
      </c>
      <c r="K1079" t="n">
        <v>0.286</v>
      </c>
      <c r="L1079" t="n">
        <v>0.714</v>
      </c>
      <c r="M1079" t="n">
        <v>0</v>
      </c>
    </row>
    <row r="1080" spans="1:13">
      <c r="A1080" s="1">
        <f>HYPERLINK("http://www.twitter.com/NathanBLawrence/status/963887114965454849", "963887114965454849")</f>
        <v/>
      </c>
      <c r="B1080" s="2" t="n">
        <v>43145.89318287037</v>
      </c>
      <c r="C1080" t="n">
        <v>0</v>
      </c>
      <c r="D1080" t="n">
        <v>0</v>
      </c>
      <c r="E1080" t="s">
        <v>1091</v>
      </c>
      <c r="F1080" t="s"/>
      <c r="G1080" t="s"/>
      <c r="H1080" t="s"/>
      <c r="I1080" t="s"/>
      <c r="J1080" t="n">
        <v>-0.4897</v>
      </c>
      <c r="K1080" t="n">
        <v>0.153</v>
      </c>
      <c r="L1080" t="n">
        <v>0.745</v>
      </c>
      <c r="M1080" t="n">
        <v>0.102</v>
      </c>
    </row>
    <row r="1081" spans="1:13">
      <c r="A1081" s="1">
        <f>HYPERLINK("http://www.twitter.com/NathanBLawrence/status/963832896283926528", "963832896283926528")</f>
        <v/>
      </c>
      <c r="B1081" s="2" t="n">
        <v>43145.74356481482</v>
      </c>
      <c r="C1081" t="n">
        <v>4</v>
      </c>
      <c r="D1081" t="n">
        <v>1</v>
      </c>
      <c r="E1081" t="s">
        <v>1092</v>
      </c>
      <c r="F1081" t="s"/>
      <c r="G1081" t="s"/>
      <c r="H1081" t="s"/>
      <c r="I1081" t="s"/>
      <c r="J1081" t="n">
        <v>0.8994</v>
      </c>
      <c r="K1081" t="n">
        <v>0</v>
      </c>
      <c r="L1081" t="n">
        <v>0.711</v>
      </c>
      <c r="M1081" t="n">
        <v>0.289</v>
      </c>
    </row>
    <row r="1082" spans="1:13">
      <c r="A1082" s="1">
        <f>HYPERLINK("http://www.twitter.com/NathanBLawrence/status/963776258369867776", "963776258369867776")</f>
        <v/>
      </c>
      <c r="B1082" s="2" t="n">
        <v>43145.58726851852</v>
      </c>
      <c r="C1082" t="n">
        <v>0</v>
      </c>
      <c r="D1082" t="n">
        <v>0</v>
      </c>
      <c r="E1082" t="s">
        <v>1093</v>
      </c>
      <c r="F1082" t="s"/>
      <c r="G1082" t="s"/>
      <c r="H1082" t="s"/>
      <c r="I1082" t="s"/>
      <c r="J1082" t="n">
        <v>-0.5229</v>
      </c>
      <c r="K1082" t="n">
        <v>0.36</v>
      </c>
      <c r="L1082" t="n">
        <v>0.64</v>
      </c>
      <c r="M1082" t="n">
        <v>0</v>
      </c>
    </row>
    <row r="1083" spans="1:13">
      <c r="A1083" s="1">
        <f>HYPERLINK("http://www.twitter.com/NathanBLawrence/status/963738129869037568", "963738129869037568")</f>
        <v/>
      </c>
      <c r="B1083" s="2" t="n">
        <v>43145.48206018518</v>
      </c>
      <c r="C1083" t="n">
        <v>1</v>
      </c>
      <c r="D1083" t="n">
        <v>0</v>
      </c>
      <c r="E1083" t="s">
        <v>1094</v>
      </c>
      <c r="F1083" t="s"/>
      <c r="G1083" t="s"/>
      <c r="H1083" t="s"/>
      <c r="I1083" t="s"/>
      <c r="J1083" t="n">
        <v>0</v>
      </c>
      <c r="K1083" t="n">
        <v>0</v>
      </c>
      <c r="L1083" t="n">
        <v>1</v>
      </c>
      <c r="M1083" t="n">
        <v>0</v>
      </c>
    </row>
    <row r="1084" spans="1:13">
      <c r="A1084" s="1">
        <f>HYPERLINK("http://www.twitter.com/NathanBLawrence/status/963615111146627072", "963615111146627072")</f>
        <v/>
      </c>
      <c r="B1084" s="2" t="n">
        <v>43145.14259259259</v>
      </c>
      <c r="C1084" t="n">
        <v>0</v>
      </c>
      <c r="D1084" t="n">
        <v>0</v>
      </c>
      <c r="E1084" t="s">
        <v>1095</v>
      </c>
      <c r="F1084" t="s"/>
      <c r="G1084" t="s"/>
      <c r="H1084" t="s"/>
      <c r="I1084" t="s"/>
      <c r="J1084" t="n">
        <v>0</v>
      </c>
      <c r="K1084" t="n">
        <v>0</v>
      </c>
      <c r="L1084" t="n">
        <v>1</v>
      </c>
      <c r="M1084" t="n">
        <v>0</v>
      </c>
    </row>
    <row r="1085" spans="1:13">
      <c r="A1085" s="1">
        <f>HYPERLINK("http://www.twitter.com/NathanBLawrence/status/963596088107257856", "963596088107257856")</f>
        <v/>
      </c>
      <c r="B1085" s="2" t="n">
        <v>43145.0900925926</v>
      </c>
      <c r="C1085" t="n">
        <v>0</v>
      </c>
      <c r="D1085" t="n">
        <v>0</v>
      </c>
      <c r="E1085" t="s">
        <v>1096</v>
      </c>
      <c r="F1085" t="s"/>
      <c r="G1085" t="s"/>
      <c r="H1085" t="s"/>
      <c r="I1085" t="s"/>
      <c r="J1085" t="n">
        <v>0.3612</v>
      </c>
      <c r="K1085" t="n">
        <v>0</v>
      </c>
      <c r="L1085" t="n">
        <v>0.667</v>
      </c>
      <c r="M1085" t="n">
        <v>0.333</v>
      </c>
    </row>
    <row r="1086" spans="1:13">
      <c r="A1086" s="1">
        <f>HYPERLINK("http://www.twitter.com/NathanBLawrence/status/963528068081049600", "963528068081049600")</f>
        <v/>
      </c>
      <c r="B1086" s="2" t="n">
        <v>43144.90239583333</v>
      </c>
      <c r="C1086" t="n">
        <v>0</v>
      </c>
      <c r="D1086" t="n">
        <v>0</v>
      </c>
      <c r="E1086" t="s">
        <v>1097</v>
      </c>
      <c r="F1086" t="s"/>
      <c r="G1086" t="s"/>
      <c r="H1086" t="s"/>
      <c r="I1086" t="s"/>
      <c r="J1086" t="n">
        <v>0.7096</v>
      </c>
      <c r="K1086" t="n">
        <v>0</v>
      </c>
      <c r="L1086" t="n">
        <v>0.504</v>
      </c>
      <c r="M1086" t="n">
        <v>0.496</v>
      </c>
    </row>
    <row r="1087" spans="1:13">
      <c r="A1087" s="1">
        <f>HYPERLINK("http://www.twitter.com/NathanBLawrence/status/963470710604779520", "963470710604779520")</f>
        <v/>
      </c>
      <c r="B1087" s="2" t="n">
        <v>43144.74412037037</v>
      </c>
      <c r="C1087" t="n">
        <v>0</v>
      </c>
      <c r="D1087" t="n">
        <v>0</v>
      </c>
      <c r="E1087" t="s">
        <v>1098</v>
      </c>
      <c r="F1087" t="s"/>
      <c r="G1087" t="s"/>
      <c r="H1087" t="s"/>
      <c r="I1087" t="s"/>
      <c r="J1087" t="n">
        <v>0</v>
      </c>
      <c r="K1087" t="n">
        <v>0</v>
      </c>
      <c r="L1087" t="n">
        <v>1</v>
      </c>
      <c r="M1087" t="n">
        <v>0</v>
      </c>
    </row>
    <row r="1088" spans="1:13">
      <c r="A1088" s="1">
        <f>HYPERLINK("http://www.twitter.com/NathanBLawrence/status/963438584932990977", "963438584932990977")</f>
        <v/>
      </c>
      <c r="B1088" s="2" t="n">
        <v>43144.65547453704</v>
      </c>
      <c r="C1088" t="n">
        <v>2</v>
      </c>
      <c r="D1088" t="n">
        <v>0</v>
      </c>
      <c r="E1088" t="s">
        <v>1099</v>
      </c>
      <c r="F1088" t="s"/>
      <c r="G1088" t="s"/>
      <c r="H1088" t="s"/>
      <c r="I1088" t="s"/>
      <c r="J1088" t="n">
        <v>-0.826</v>
      </c>
      <c r="K1088" t="n">
        <v>0.259</v>
      </c>
      <c r="L1088" t="n">
        <v>0.741</v>
      </c>
      <c r="M1088" t="n">
        <v>0</v>
      </c>
    </row>
    <row r="1089" spans="1:13">
      <c r="A1089" s="1">
        <f>HYPERLINK("http://www.twitter.com/NathanBLawrence/status/963192568807940096", "963192568807940096")</f>
        <v/>
      </c>
      <c r="B1089" s="2" t="n">
        <v>43143.97659722222</v>
      </c>
      <c r="C1089" t="n">
        <v>0</v>
      </c>
      <c r="D1089" t="n">
        <v>0</v>
      </c>
      <c r="E1089" t="s">
        <v>1100</v>
      </c>
      <c r="F1089" t="s"/>
      <c r="G1089" t="s"/>
      <c r="H1089" t="s"/>
      <c r="I1089" t="s"/>
      <c r="J1089" t="n">
        <v>0</v>
      </c>
      <c r="K1089" t="n">
        <v>0</v>
      </c>
      <c r="L1089" t="n">
        <v>1</v>
      </c>
      <c r="M1089" t="n">
        <v>0</v>
      </c>
    </row>
    <row r="1090" spans="1:13">
      <c r="A1090" s="1">
        <f>HYPERLINK("http://www.twitter.com/NathanBLawrence/status/963083887277756416", "963083887277756416")</f>
        <v/>
      </c>
      <c r="B1090" s="2" t="n">
        <v>43143.67668981481</v>
      </c>
      <c r="C1090" t="n">
        <v>0</v>
      </c>
      <c r="D1090" t="n">
        <v>0</v>
      </c>
      <c r="E1090" t="s">
        <v>1101</v>
      </c>
      <c r="F1090" t="s"/>
      <c r="G1090" t="s"/>
      <c r="H1090" t="s"/>
      <c r="I1090" t="s"/>
      <c r="J1090" t="n">
        <v>0.0987</v>
      </c>
      <c r="K1090" t="n">
        <v>0.147</v>
      </c>
      <c r="L1090" t="n">
        <v>0.695</v>
      </c>
      <c r="M1090" t="n">
        <v>0.157</v>
      </c>
    </row>
    <row r="1091" spans="1:13">
      <c r="A1091" s="1">
        <f>HYPERLINK("http://www.twitter.com/NathanBLawrence/status/963050361509597184", "963050361509597184")</f>
        <v/>
      </c>
      <c r="B1091" s="2" t="n">
        <v>43143.58417824074</v>
      </c>
      <c r="C1091" t="n">
        <v>8</v>
      </c>
      <c r="D1091" t="n">
        <v>1</v>
      </c>
      <c r="E1091" t="s">
        <v>1102</v>
      </c>
      <c r="F1091" t="s"/>
      <c r="G1091" t="s"/>
      <c r="H1091" t="s"/>
      <c r="I1091" t="s"/>
      <c r="J1091" t="n">
        <v>0.3612</v>
      </c>
      <c r="K1091" t="n">
        <v>0</v>
      </c>
      <c r="L1091" t="n">
        <v>0.839</v>
      </c>
      <c r="M1091" t="n">
        <v>0.161</v>
      </c>
    </row>
    <row r="1092" spans="1:13">
      <c r="A1092" s="1">
        <f>HYPERLINK("http://www.twitter.com/NathanBLawrence/status/963010476727853056", "963010476727853056")</f>
        <v/>
      </c>
      <c r="B1092" s="2" t="n">
        <v>43143.47412037037</v>
      </c>
      <c r="C1092" t="n">
        <v>0</v>
      </c>
      <c r="D1092" t="n">
        <v>0</v>
      </c>
      <c r="E1092" t="s">
        <v>1103</v>
      </c>
      <c r="F1092" t="s"/>
      <c r="G1092" t="s"/>
      <c r="H1092" t="s"/>
      <c r="I1092" t="s"/>
      <c r="J1092" t="n">
        <v>0</v>
      </c>
      <c r="K1092" t="n">
        <v>0</v>
      </c>
      <c r="L1092" t="n">
        <v>1</v>
      </c>
      <c r="M1092" t="n">
        <v>0</v>
      </c>
    </row>
    <row r="1093" spans="1:13">
      <c r="A1093" s="1">
        <f>HYPERLINK("http://www.twitter.com/NathanBLawrence/status/962895967497400325", "962895967497400325")</f>
        <v/>
      </c>
      <c r="B1093" s="2" t="n">
        <v>43143.15813657407</v>
      </c>
      <c r="C1093" t="n">
        <v>0</v>
      </c>
      <c r="D1093" t="n">
        <v>0</v>
      </c>
      <c r="E1093" t="s">
        <v>1104</v>
      </c>
      <c r="F1093" t="s"/>
      <c r="G1093" t="s"/>
      <c r="H1093" t="s"/>
      <c r="I1093" t="s"/>
      <c r="J1093" t="n">
        <v>0</v>
      </c>
      <c r="K1093" t="n">
        <v>0</v>
      </c>
      <c r="L1093" t="n">
        <v>1</v>
      </c>
      <c r="M1093" t="n">
        <v>0</v>
      </c>
    </row>
    <row r="1094" spans="1:13">
      <c r="A1094" s="1">
        <f>HYPERLINK("http://www.twitter.com/NathanBLawrence/status/962878653796372481", "962878653796372481")</f>
        <v/>
      </c>
      <c r="B1094" s="2" t="n">
        <v>43143.11035879629</v>
      </c>
      <c r="C1094" t="n">
        <v>2</v>
      </c>
      <c r="D1094" t="n">
        <v>0</v>
      </c>
      <c r="E1094" t="s">
        <v>1105</v>
      </c>
      <c r="F1094" t="s"/>
      <c r="G1094" t="s"/>
      <c r="H1094" t="s"/>
      <c r="I1094" t="s"/>
      <c r="J1094" t="n">
        <v>0</v>
      </c>
      <c r="K1094" t="n">
        <v>0</v>
      </c>
      <c r="L1094" t="n">
        <v>1</v>
      </c>
      <c r="M1094" t="n">
        <v>0</v>
      </c>
    </row>
    <row r="1095" spans="1:13">
      <c r="A1095" s="1">
        <f>HYPERLINK("http://www.twitter.com/NathanBLawrence/status/962878163423563776", "962878163423563776")</f>
        <v/>
      </c>
      <c r="B1095" s="2" t="n">
        <v>43143.10900462963</v>
      </c>
      <c r="C1095" t="n">
        <v>0</v>
      </c>
      <c r="D1095" t="n">
        <v>0</v>
      </c>
      <c r="E1095" t="s">
        <v>1106</v>
      </c>
      <c r="F1095" t="s"/>
      <c r="G1095" t="s"/>
      <c r="H1095" t="s"/>
      <c r="I1095" t="s"/>
      <c r="J1095" t="n">
        <v>0</v>
      </c>
      <c r="K1095" t="n">
        <v>0</v>
      </c>
      <c r="L1095" t="n">
        <v>1</v>
      </c>
      <c r="M1095" t="n">
        <v>0</v>
      </c>
    </row>
    <row r="1096" spans="1:13">
      <c r="A1096" s="1">
        <f>HYPERLINK("http://www.twitter.com/NathanBLawrence/status/962877185152503808", "962877185152503808")</f>
        <v/>
      </c>
      <c r="B1096" s="2" t="n">
        <v>43143.1062962963</v>
      </c>
      <c r="C1096" t="n">
        <v>0</v>
      </c>
      <c r="D1096" t="n">
        <v>30119</v>
      </c>
      <c r="E1096" t="s">
        <v>1107</v>
      </c>
      <c r="F1096" t="s"/>
      <c r="G1096" t="s"/>
      <c r="H1096" t="s"/>
      <c r="I1096" t="s"/>
      <c r="J1096" t="n">
        <v>-0.3862</v>
      </c>
      <c r="K1096" t="n">
        <v>0.206</v>
      </c>
      <c r="L1096" t="n">
        <v>0.637</v>
      </c>
      <c r="M1096" t="n">
        <v>0.157</v>
      </c>
    </row>
    <row r="1097" spans="1:13">
      <c r="A1097" s="1">
        <f>HYPERLINK("http://www.twitter.com/NathanBLawrence/status/962740203466186753", "962740203466186753")</f>
        <v/>
      </c>
      <c r="B1097" s="2" t="n">
        <v>43142.72831018519</v>
      </c>
      <c r="C1097" t="n">
        <v>2</v>
      </c>
      <c r="D1097" t="n">
        <v>0</v>
      </c>
      <c r="E1097" t="s">
        <v>1108</v>
      </c>
      <c r="F1097" t="s"/>
      <c r="G1097" t="s"/>
      <c r="H1097" t="s"/>
      <c r="I1097" t="s"/>
      <c r="J1097" t="n">
        <v>-0.3147</v>
      </c>
      <c r="K1097" t="n">
        <v>0.075</v>
      </c>
      <c r="L1097" t="n">
        <v>0.925</v>
      </c>
      <c r="M1097" t="n">
        <v>0</v>
      </c>
    </row>
    <row r="1098" spans="1:13">
      <c r="A1098" s="1">
        <f>HYPERLINK("http://www.twitter.com/NathanBLawrence/status/962704549231448065", "962704549231448065")</f>
        <v/>
      </c>
      <c r="B1098" s="2" t="n">
        <v>43142.62991898148</v>
      </c>
      <c r="C1098" t="n">
        <v>0</v>
      </c>
      <c r="D1098" t="n">
        <v>5556</v>
      </c>
      <c r="E1098" t="s">
        <v>1109</v>
      </c>
      <c r="F1098">
        <f>HYPERLINK("http://pbs.twimg.com/media/DVtWbbzV4AEmN2Z.jpg", "http://pbs.twimg.com/media/DVtWbbzV4AEmN2Z.jpg")</f>
        <v/>
      </c>
      <c r="G1098" t="s"/>
      <c r="H1098" t="s"/>
      <c r="I1098" t="s"/>
      <c r="J1098" t="n">
        <v>0.5754</v>
      </c>
      <c r="K1098" t="n">
        <v>0</v>
      </c>
      <c r="L1098" t="n">
        <v>0.6820000000000001</v>
      </c>
      <c r="M1098" t="n">
        <v>0.318</v>
      </c>
    </row>
    <row r="1099" spans="1:13">
      <c r="A1099" s="1">
        <f>HYPERLINK("http://www.twitter.com/NathanBLawrence/status/962549662770237440", "962549662770237440")</f>
        <v/>
      </c>
      <c r="B1099" s="2" t="n">
        <v>43142.20251157408</v>
      </c>
      <c r="C1099" t="n">
        <v>0</v>
      </c>
      <c r="D1099" t="n">
        <v>31394</v>
      </c>
      <c r="E1099" t="s">
        <v>1110</v>
      </c>
      <c r="F1099" t="s"/>
      <c r="G1099" t="s"/>
      <c r="H1099" t="s"/>
      <c r="I1099" t="s"/>
      <c r="J1099" t="n">
        <v>0</v>
      </c>
      <c r="K1099" t="n">
        <v>0</v>
      </c>
      <c r="L1099" t="n">
        <v>1</v>
      </c>
      <c r="M1099" t="n">
        <v>0</v>
      </c>
    </row>
    <row r="1100" spans="1:13">
      <c r="A1100" s="1">
        <f>HYPERLINK("http://www.twitter.com/NathanBLawrence/status/962376340442927104", "962376340442927104")</f>
        <v/>
      </c>
      <c r="B1100" s="2" t="n">
        <v>43141.72423611111</v>
      </c>
      <c r="C1100" t="n">
        <v>0</v>
      </c>
      <c r="D1100" t="n">
        <v>0</v>
      </c>
      <c r="E1100" t="s">
        <v>1111</v>
      </c>
      <c r="F1100" t="s"/>
      <c r="G1100" t="s"/>
      <c r="H1100" t="s"/>
      <c r="I1100" t="s"/>
      <c r="J1100" t="n">
        <v>0.7351</v>
      </c>
      <c r="K1100" t="n">
        <v>0</v>
      </c>
      <c r="L1100" t="n">
        <v>0.733</v>
      </c>
      <c r="M1100" t="n">
        <v>0.267</v>
      </c>
    </row>
    <row r="1101" spans="1:13">
      <c r="A1101" s="1">
        <f>HYPERLINK("http://www.twitter.com/NathanBLawrence/status/962376047227387904", "962376047227387904")</f>
        <v/>
      </c>
      <c r="B1101" s="2" t="n">
        <v>43141.72342592593</v>
      </c>
      <c r="C1101" t="n">
        <v>0</v>
      </c>
      <c r="D1101" t="n">
        <v>36123</v>
      </c>
      <c r="E1101" t="s">
        <v>1112</v>
      </c>
      <c r="F1101" t="s"/>
      <c r="G1101" t="s"/>
      <c r="H1101" t="s"/>
      <c r="I1101" t="s"/>
      <c r="J1101" t="n">
        <v>-0.5423</v>
      </c>
      <c r="K1101" t="n">
        <v>0.216</v>
      </c>
      <c r="L1101" t="n">
        <v>0.6870000000000001</v>
      </c>
      <c r="M1101" t="n">
        <v>0.096</v>
      </c>
    </row>
    <row r="1102" spans="1:13">
      <c r="A1102" s="1">
        <f>HYPERLINK("http://www.twitter.com/NathanBLawrence/status/962346232965423106", "962346232965423106")</f>
        <v/>
      </c>
      <c r="B1102" s="2" t="n">
        <v>43141.64115740741</v>
      </c>
      <c r="C1102" t="n">
        <v>0</v>
      </c>
      <c r="D1102" t="n">
        <v>752</v>
      </c>
      <c r="E1102" t="s">
        <v>1113</v>
      </c>
      <c r="F1102">
        <f>HYPERLINK("http://pbs.twimg.com/media/DVrwQtLV4AEOfIf.jpg", "http://pbs.twimg.com/media/DVrwQtLV4AEOfIf.jpg")</f>
        <v/>
      </c>
      <c r="G1102" t="s"/>
      <c r="H1102" t="s"/>
      <c r="I1102" t="s"/>
      <c r="J1102" t="n">
        <v>0.7081</v>
      </c>
      <c r="K1102" t="n">
        <v>0</v>
      </c>
      <c r="L1102" t="n">
        <v>0.704</v>
      </c>
      <c r="M1102" t="n">
        <v>0.296</v>
      </c>
    </row>
    <row r="1103" spans="1:13">
      <c r="A1103" s="1">
        <f>HYPERLINK("http://www.twitter.com/NathanBLawrence/status/962153351319359489", "962153351319359489")</f>
        <v/>
      </c>
      <c r="B1103" s="2" t="n">
        <v>43141.10890046296</v>
      </c>
      <c r="C1103" t="n">
        <v>0</v>
      </c>
      <c r="D1103" t="n">
        <v>0</v>
      </c>
      <c r="E1103" t="s">
        <v>1114</v>
      </c>
      <c r="F1103" t="s"/>
      <c r="G1103" t="s"/>
      <c r="H1103" t="s"/>
      <c r="I1103" t="s"/>
      <c r="J1103" t="n">
        <v>-0.9843</v>
      </c>
      <c r="K1103" t="n">
        <v>0.987</v>
      </c>
      <c r="L1103" t="n">
        <v>0.013</v>
      </c>
      <c r="M1103" t="n">
        <v>0</v>
      </c>
    </row>
    <row r="1104" spans="1:13">
      <c r="A1104" s="1">
        <f>HYPERLINK("http://www.twitter.com/NathanBLawrence/status/962152110057025537", "962152110057025537")</f>
        <v/>
      </c>
      <c r="B1104" s="2" t="n">
        <v>43141.10547453703</v>
      </c>
      <c r="C1104" t="n">
        <v>0</v>
      </c>
      <c r="D1104" t="n">
        <v>2</v>
      </c>
      <c r="E1104" t="s">
        <v>1115</v>
      </c>
      <c r="F1104" t="s"/>
      <c r="G1104" t="s"/>
      <c r="H1104" t="s"/>
      <c r="I1104" t="s"/>
      <c r="J1104" t="n">
        <v>0</v>
      </c>
      <c r="K1104" t="n">
        <v>0</v>
      </c>
      <c r="L1104" t="n">
        <v>1</v>
      </c>
      <c r="M1104" t="n">
        <v>0</v>
      </c>
    </row>
    <row r="1105" spans="1:13">
      <c r="A1105" s="1">
        <f>HYPERLINK("http://www.twitter.com/NathanBLawrence/status/962144512054308864", "962144512054308864")</f>
        <v/>
      </c>
      <c r="B1105" s="2" t="n">
        <v>43141.08451388889</v>
      </c>
      <c r="C1105" t="n">
        <v>0</v>
      </c>
      <c r="D1105" t="n">
        <v>0</v>
      </c>
      <c r="E1105" t="s">
        <v>1116</v>
      </c>
      <c r="F1105" t="s"/>
      <c r="G1105" t="s"/>
      <c r="H1105" t="s"/>
      <c r="I1105" t="s"/>
      <c r="J1105" t="n">
        <v>0</v>
      </c>
      <c r="K1105" t="n">
        <v>0</v>
      </c>
      <c r="L1105" t="n">
        <v>1</v>
      </c>
      <c r="M1105" t="n">
        <v>0</v>
      </c>
    </row>
    <row r="1106" spans="1:13">
      <c r="A1106" s="1">
        <f>HYPERLINK("http://www.twitter.com/NathanBLawrence/status/962042127172624385", "962042127172624385")</f>
        <v/>
      </c>
      <c r="B1106" s="2" t="n">
        <v>43140.80197916667</v>
      </c>
      <c r="C1106" t="n">
        <v>0</v>
      </c>
      <c r="D1106" t="n">
        <v>0</v>
      </c>
      <c r="E1106" t="s">
        <v>1117</v>
      </c>
      <c r="F1106" t="s"/>
      <c r="G1106" t="s"/>
      <c r="H1106" t="s"/>
      <c r="I1106" t="s"/>
      <c r="J1106" t="n">
        <v>0.3818</v>
      </c>
      <c r="K1106" t="n">
        <v>0.118</v>
      </c>
      <c r="L1106" t="n">
        <v>0.637</v>
      </c>
      <c r="M1106" t="n">
        <v>0.245</v>
      </c>
    </row>
    <row r="1107" spans="1:13">
      <c r="A1107" s="1">
        <f>HYPERLINK("http://www.twitter.com/NathanBLawrence/status/962022410890432513", "962022410890432513")</f>
        <v/>
      </c>
      <c r="B1107" s="2" t="n">
        <v>43140.74756944444</v>
      </c>
      <c r="C1107" t="n">
        <v>0</v>
      </c>
      <c r="D1107" t="n">
        <v>408</v>
      </c>
      <c r="E1107" t="s">
        <v>1118</v>
      </c>
      <c r="F1107" t="s"/>
      <c r="G1107" t="s"/>
      <c r="H1107" t="s"/>
      <c r="I1107" t="s"/>
      <c r="J1107" t="n">
        <v>0</v>
      </c>
      <c r="K1107" t="n">
        <v>0</v>
      </c>
      <c r="L1107" t="n">
        <v>1</v>
      </c>
      <c r="M1107" t="n">
        <v>0</v>
      </c>
    </row>
    <row r="1108" spans="1:13">
      <c r="A1108" s="1">
        <f>HYPERLINK("http://www.twitter.com/NathanBLawrence/status/962021509891051520", "962021509891051520")</f>
        <v/>
      </c>
      <c r="B1108" s="2" t="n">
        <v>43140.7450925926</v>
      </c>
      <c r="C1108" t="n">
        <v>0</v>
      </c>
      <c r="D1108" t="n">
        <v>0</v>
      </c>
      <c r="E1108" t="s">
        <v>1119</v>
      </c>
      <c r="F1108" t="s"/>
      <c r="G1108" t="s"/>
      <c r="H1108" t="s"/>
      <c r="I1108" t="s"/>
      <c r="J1108" t="n">
        <v>0</v>
      </c>
      <c r="K1108" t="n">
        <v>0</v>
      </c>
      <c r="L1108" t="n">
        <v>1</v>
      </c>
      <c r="M1108" t="n">
        <v>0</v>
      </c>
    </row>
    <row r="1109" spans="1:13">
      <c r="A1109" s="1">
        <f>HYPERLINK("http://www.twitter.com/NathanBLawrence/status/961998744932831240", "961998744932831240")</f>
        <v/>
      </c>
      <c r="B1109" s="2" t="n">
        <v>43140.68226851852</v>
      </c>
      <c r="C1109" t="n">
        <v>0</v>
      </c>
      <c r="D1109" t="n">
        <v>0</v>
      </c>
      <c r="E1109" t="s">
        <v>1120</v>
      </c>
      <c r="F1109" t="s"/>
      <c r="G1109" t="s"/>
      <c r="H1109" t="s"/>
      <c r="I1109" t="s"/>
      <c r="J1109" t="n">
        <v>-0.9087</v>
      </c>
      <c r="K1109" t="n">
        <v>0.247</v>
      </c>
      <c r="L1109" t="n">
        <v>0.655</v>
      </c>
      <c r="M1109" t="n">
        <v>0.098</v>
      </c>
    </row>
    <row r="1110" spans="1:13">
      <c r="A1110" s="1">
        <f>HYPERLINK("http://www.twitter.com/NathanBLawrence/status/961836468850212866", "961836468850212866")</f>
        <v/>
      </c>
      <c r="B1110" s="2" t="n">
        <v>43140.23446759259</v>
      </c>
      <c r="C1110" t="n">
        <v>1</v>
      </c>
      <c r="D1110" t="n">
        <v>0</v>
      </c>
      <c r="E1110" t="s">
        <v>1121</v>
      </c>
      <c r="F1110" t="s"/>
      <c r="G1110" t="s"/>
      <c r="H1110" t="s"/>
      <c r="I1110" t="s"/>
      <c r="J1110" t="n">
        <v>-0.5266999999999999</v>
      </c>
      <c r="K1110" t="n">
        <v>0.134</v>
      </c>
      <c r="L1110" t="n">
        <v>0.866</v>
      </c>
      <c r="M1110" t="n">
        <v>0</v>
      </c>
    </row>
    <row r="1111" spans="1:13">
      <c r="A1111" s="1">
        <f>HYPERLINK("http://www.twitter.com/NathanBLawrence/status/961835038584094726", "961835038584094726")</f>
        <v/>
      </c>
      <c r="B1111" s="2" t="n">
        <v>43140.23052083333</v>
      </c>
      <c r="C1111" t="n">
        <v>0</v>
      </c>
      <c r="D1111" t="n">
        <v>0</v>
      </c>
      <c r="E1111" t="s">
        <v>1122</v>
      </c>
      <c r="F1111" t="s"/>
      <c r="G1111" t="s"/>
      <c r="H1111" t="s"/>
      <c r="I1111" t="s"/>
      <c r="J1111" t="n">
        <v>-0.5023</v>
      </c>
      <c r="K1111" t="n">
        <v>0.151</v>
      </c>
      <c r="L1111" t="n">
        <v>0.793</v>
      </c>
      <c r="M1111" t="n">
        <v>0.056</v>
      </c>
    </row>
    <row r="1112" spans="1:13">
      <c r="A1112" s="1">
        <f>HYPERLINK("http://www.twitter.com/NathanBLawrence/status/961712212850216960", "961712212850216960")</f>
        <v/>
      </c>
      <c r="B1112" s="2" t="n">
        <v>43139.89158564815</v>
      </c>
      <c r="C1112" t="n">
        <v>0</v>
      </c>
      <c r="D1112" t="n">
        <v>0</v>
      </c>
      <c r="E1112" t="s">
        <v>1123</v>
      </c>
      <c r="F1112" t="s"/>
      <c r="G1112" t="s"/>
      <c r="H1112" t="s"/>
      <c r="I1112" t="s"/>
      <c r="J1112" t="n">
        <v>0.6542</v>
      </c>
      <c r="K1112" t="n">
        <v>0.061</v>
      </c>
      <c r="L1112" t="n">
        <v>0.784</v>
      </c>
      <c r="M1112" t="n">
        <v>0.156</v>
      </c>
    </row>
    <row r="1113" spans="1:13">
      <c r="A1113" s="1">
        <f>HYPERLINK("http://www.twitter.com/NathanBLawrence/status/961706397766422530", "961706397766422530")</f>
        <v/>
      </c>
      <c r="B1113" s="2" t="n">
        <v>43139.87554398148</v>
      </c>
      <c r="C1113" t="n">
        <v>0</v>
      </c>
      <c r="D1113" t="n">
        <v>0</v>
      </c>
      <c r="E1113" t="s">
        <v>1124</v>
      </c>
      <c r="F1113" t="s"/>
      <c r="G1113" t="s"/>
      <c r="H1113" t="s"/>
      <c r="I1113" t="s"/>
      <c r="J1113" t="n">
        <v>-0.3612</v>
      </c>
      <c r="K1113" t="n">
        <v>0.057</v>
      </c>
      <c r="L1113" t="n">
        <v>0.914</v>
      </c>
      <c r="M1113" t="n">
        <v>0.028</v>
      </c>
    </row>
    <row r="1114" spans="1:13">
      <c r="A1114" s="1">
        <f>HYPERLINK("http://www.twitter.com/NathanBLawrence/status/961694659117486081", "961694659117486081")</f>
        <v/>
      </c>
      <c r="B1114" s="2" t="n">
        <v>43139.84314814815</v>
      </c>
      <c r="C1114" t="n">
        <v>0</v>
      </c>
      <c r="D1114" t="n">
        <v>30299</v>
      </c>
      <c r="E1114" t="s">
        <v>1125</v>
      </c>
      <c r="F1114">
        <f>HYPERLINK("https://video.twimg.com/ext_tw_video/961693455356481536/pu/vid/1280x720/02-oqjn2EJ91FqK6.mp4", "https://video.twimg.com/ext_tw_video/961693455356481536/pu/vid/1280x720/02-oqjn2EJ91FqK6.mp4")</f>
        <v/>
      </c>
      <c r="G1114" t="s"/>
      <c r="H1114" t="s"/>
      <c r="I1114" t="s"/>
      <c r="J1114" t="n">
        <v>0.7906</v>
      </c>
      <c r="K1114" t="n">
        <v>0</v>
      </c>
      <c r="L1114" t="n">
        <v>0.774</v>
      </c>
      <c r="M1114" t="n">
        <v>0.226</v>
      </c>
    </row>
    <row r="1115" spans="1:13">
      <c r="A1115" s="1">
        <f>HYPERLINK("http://www.twitter.com/NathanBLawrence/status/961657406609555456", "961657406609555456")</f>
        <v/>
      </c>
      <c r="B1115" s="2" t="n">
        <v>43139.7403587963</v>
      </c>
      <c r="C1115" t="n">
        <v>0</v>
      </c>
      <c r="D1115" t="n">
        <v>0</v>
      </c>
      <c r="E1115" t="s">
        <v>1126</v>
      </c>
      <c r="F1115" t="s"/>
      <c r="G1115" t="s"/>
      <c r="H1115" t="s"/>
      <c r="I1115" t="s"/>
      <c r="J1115" t="n">
        <v>0.296</v>
      </c>
      <c r="K1115" t="n">
        <v>0</v>
      </c>
      <c r="L1115" t="n">
        <v>0.804</v>
      </c>
      <c r="M1115" t="n">
        <v>0.196</v>
      </c>
    </row>
    <row r="1116" spans="1:13">
      <c r="A1116" s="1">
        <f>HYPERLINK("http://www.twitter.com/NathanBLawrence/status/961654285535674368", "961654285535674368")</f>
        <v/>
      </c>
      <c r="B1116" s="2" t="n">
        <v>43139.73174768518</v>
      </c>
      <c r="C1116" t="n">
        <v>1</v>
      </c>
      <c r="D1116" t="n">
        <v>0</v>
      </c>
      <c r="E1116" t="s">
        <v>1127</v>
      </c>
      <c r="F1116" t="s"/>
      <c r="G1116" t="s"/>
      <c r="H1116" t="s"/>
      <c r="I1116" t="s"/>
      <c r="J1116" t="n">
        <v>0.5106000000000001</v>
      </c>
      <c r="K1116" t="n">
        <v>0</v>
      </c>
      <c r="L1116" t="n">
        <v>0.798</v>
      </c>
      <c r="M1116" t="n">
        <v>0.202</v>
      </c>
    </row>
    <row r="1117" spans="1:13">
      <c r="A1117" s="1">
        <f>HYPERLINK("http://www.twitter.com/NathanBLawrence/status/961653654003601409", "961653654003601409")</f>
        <v/>
      </c>
      <c r="B1117" s="2" t="n">
        <v>43139.73</v>
      </c>
      <c r="C1117" t="n">
        <v>0</v>
      </c>
      <c r="D1117" t="n">
        <v>28869</v>
      </c>
      <c r="E1117" t="s">
        <v>1128</v>
      </c>
      <c r="F1117">
        <f>HYPERLINK("https://video.twimg.com/ext_tw_video/961648764116140032/pu/vid/1280x720/YbkYv8r4-mjfmIXC.mp4", "https://video.twimg.com/ext_tw_video/961648764116140032/pu/vid/1280x720/YbkYv8r4-mjfmIXC.mp4")</f>
        <v/>
      </c>
      <c r="G1117" t="s"/>
      <c r="H1117" t="s"/>
      <c r="I1117" t="s"/>
      <c r="J1117" t="n">
        <v>0.4278</v>
      </c>
      <c r="K1117" t="n">
        <v>0</v>
      </c>
      <c r="L1117" t="n">
        <v>0.876</v>
      </c>
      <c r="M1117" t="n">
        <v>0.124</v>
      </c>
    </row>
    <row r="1118" spans="1:13">
      <c r="A1118" s="1">
        <f>HYPERLINK("http://www.twitter.com/NathanBLawrence/status/961614373876793345", "961614373876793345")</f>
        <v/>
      </c>
      <c r="B1118" s="2" t="n">
        <v>43139.6216087963</v>
      </c>
      <c r="C1118" t="n">
        <v>0</v>
      </c>
      <c r="D1118" t="n">
        <v>1</v>
      </c>
      <c r="E1118" t="s">
        <v>1129</v>
      </c>
      <c r="F1118" t="s"/>
      <c r="G1118" t="s"/>
      <c r="H1118" t="s"/>
      <c r="I1118" t="s"/>
      <c r="J1118" t="n">
        <v>-0.6705</v>
      </c>
      <c r="K1118" t="n">
        <v>0.208</v>
      </c>
      <c r="L1118" t="n">
        <v>0.792</v>
      </c>
      <c r="M1118" t="n">
        <v>0</v>
      </c>
    </row>
    <row r="1119" spans="1:13">
      <c r="A1119" s="1">
        <f>HYPERLINK("http://www.twitter.com/NathanBLawrence/status/961562966062706688", "961562966062706688")</f>
        <v/>
      </c>
      <c r="B1119" s="2" t="n">
        <v>43139.47974537037</v>
      </c>
      <c r="C1119" t="n">
        <v>0</v>
      </c>
      <c r="D1119" t="n">
        <v>0</v>
      </c>
      <c r="E1119" t="s">
        <v>1130</v>
      </c>
      <c r="F1119" t="s"/>
      <c r="G1119" t="s"/>
      <c r="H1119" t="s"/>
      <c r="I1119" t="s"/>
      <c r="J1119" t="n">
        <v>0</v>
      </c>
      <c r="K1119" t="n">
        <v>0</v>
      </c>
      <c r="L1119" t="n">
        <v>1</v>
      </c>
      <c r="M1119" t="n">
        <v>0</v>
      </c>
    </row>
    <row r="1120" spans="1:13">
      <c r="A1120" s="1">
        <f>HYPERLINK("http://www.twitter.com/NathanBLawrence/status/961561447175204865", "961561447175204865")</f>
        <v/>
      </c>
      <c r="B1120" s="2" t="n">
        <v>43139.47555555555</v>
      </c>
      <c r="C1120" t="n">
        <v>0</v>
      </c>
      <c r="D1120" t="n">
        <v>0</v>
      </c>
      <c r="E1120" t="s">
        <v>1131</v>
      </c>
      <c r="F1120" t="s"/>
      <c r="G1120" t="s"/>
      <c r="H1120" t="s"/>
      <c r="I1120" t="s"/>
      <c r="J1120" t="n">
        <v>0</v>
      </c>
      <c r="K1120" t="n">
        <v>0</v>
      </c>
      <c r="L1120" t="n">
        <v>1</v>
      </c>
      <c r="M1120" t="n">
        <v>0</v>
      </c>
    </row>
    <row r="1121" spans="1:13">
      <c r="A1121" s="1">
        <f>HYPERLINK("http://www.twitter.com/NathanBLawrence/status/961561126650695680", "961561126650695680")</f>
        <v/>
      </c>
      <c r="B1121" s="2" t="n">
        <v>43139.47467592593</v>
      </c>
      <c r="C1121" t="n">
        <v>0</v>
      </c>
      <c r="D1121" t="n">
        <v>116</v>
      </c>
      <c r="E1121" t="s">
        <v>1132</v>
      </c>
      <c r="F1121">
        <f>HYPERLINK("http://pbs.twimg.com/media/DVglSxBXUAADHLO.jpg", "http://pbs.twimg.com/media/DVglSxBXUAADHLO.jpg")</f>
        <v/>
      </c>
      <c r="G1121" t="s"/>
      <c r="H1121" t="s"/>
      <c r="I1121" t="s"/>
      <c r="J1121" t="n">
        <v>-0.5266999999999999</v>
      </c>
      <c r="K1121" t="n">
        <v>0.152</v>
      </c>
      <c r="L1121" t="n">
        <v>0.848</v>
      </c>
      <c r="M1121" t="n">
        <v>0</v>
      </c>
    </row>
    <row r="1122" spans="1:13">
      <c r="A1122" s="1">
        <f>HYPERLINK("http://www.twitter.com/NathanBLawrence/status/961560816372895744", "961560816372895744")</f>
        <v/>
      </c>
      <c r="B1122" s="2" t="n">
        <v>43139.47381944444</v>
      </c>
      <c r="C1122" t="n">
        <v>1</v>
      </c>
      <c r="D1122" t="n">
        <v>0</v>
      </c>
      <c r="E1122" t="s">
        <v>1133</v>
      </c>
      <c r="F1122" t="s"/>
      <c r="G1122" t="s"/>
      <c r="H1122" t="s"/>
      <c r="I1122" t="s"/>
      <c r="J1122" t="n">
        <v>0</v>
      </c>
      <c r="K1122" t="n">
        <v>0</v>
      </c>
      <c r="L1122" t="n">
        <v>1</v>
      </c>
      <c r="M1122" t="n">
        <v>0</v>
      </c>
    </row>
    <row r="1123" spans="1:13">
      <c r="A1123" s="1">
        <f>HYPERLINK("http://www.twitter.com/NathanBLawrence/status/961453048349495297", "961453048349495297")</f>
        <v/>
      </c>
      <c r="B1123" s="2" t="n">
        <v>43139.17643518518</v>
      </c>
      <c r="C1123" t="n">
        <v>1</v>
      </c>
      <c r="D1123" t="n">
        <v>0</v>
      </c>
      <c r="E1123" t="s">
        <v>1134</v>
      </c>
      <c r="F1123" t="s"/>
      <c r="G1123" t="s"/>
      <c r="H1123" t="s"/>
      <c r="I1123" t="s"/>
      <c r="J1123" t="n">
        <v>0.6249</v>
      </c>
      <c r="K1123" t="n">
        <v>0</v>
      </c>
      <c r="L1123" t="n">
        <v>0.549</v>
      </c>
      <c r="M1123" t="n">
        <v>0.451</v>
      </c>
    </row>
    <row r="1124" spans="1:13">
      <c r="A1124" s="1">
        <f>HYPERLINK("http://www.twitter.com/NathanBLawrence/status/961443770305859584", "961443770305859584")</f>
        <v/>
      </c>
      <c r="B1124" s="2" t="n">
        <v>43139.15083333333</v>
      </c>
      <c r="C1124" t="n">
        <v>0</v>
      </c>
      <c r="D1124" t="n">
        <v>7979</v>
      </c>
      <c r="E1124" t="s">
        <v>1135</v>
      </c>
      <c r="F1124" t="s"/>
      <c r="G1124" t="s"/>
      <c r="H1124" t="s"/>
      <c r="I1124" t="s"/>
      <c r="J1124" t="n">
        <v>0</v>
      </c>
      <c r="K1124" t="n">
        <v>0</v>
      </c>
      <c r="L1124" t="n">
        <v>1</v>
      </c>
      <c r="M1124" t="n">
        <v>0</v>
      </c>
    </row>
    <row r="1125" spans="1:13">
      <c r="A1125" s="1">
        <f>HYPERLINK("http://www.twitter.com/NathanBLawrence/status/961442102839259138", "961442102839259138")</f>
        <v/>
      </c>
      <c r="B1125" s="2" t="n">
        <v>43139.14622685185</v>
      </c>
      <c r="C1125" t="n">
        <v>0</v>
      </c>
      <c r="D1125" t="n">
        <v>1636</v>
      </c>
      <c r="E1125" t="s">
        <v>1136</v>
      </c>
      <c r="F1125">
        <f>HYPERLINK("http://pbs.twimg.com/media/DVe2OdRW4AAdBpC.jpg", "http://pbs.twimg.com/media/DVe2OdRW4AAdBpC.jpg")</f>
        <v/>
      </c>
      <c r="G1125" t="s"/>
      <c r="H1125" t="s"/>
      <c r="I1125" t="s"/>
      <c r="J1125" t="n">
        <v>0</v>
      </c>
      <c r="K1125" t="n">
        <v>0</v>
      </c>
      <c r="L1125" t="n">
        <v>1</v>
      </c>
      <c r="M1125" t="n">
        <v>0</v>
      </c>
    </row>
    <row r="1126" spans="1:13">
      <c r="A1126" s="1">
        <f>HYPERLINK("http://www.twitter.com/NathanBLawrence/status/961441307909599232", "961441307909599232")</f>
        <v/>
      </c>
      <c r="B1126" s="2" t="n">
        <v>43139.14403935185</v>
      </c>
      <c r="C1126" t="n">
        <v>0</v>
      </c>
      <c r="D1126" t="n">
        <v>0</v>
      </c>
      <c r="E1126" t="s">
        <v>1137</v>
      </c>
      <c r="F1126" t="s"/>
      <c r="G1126" t="s"/>
      <c r="H1126" t="s"/>
      <c r="I1126" t="s"/>
      <c r="J1126" t="n">
        <v>0</v>
      </c>
      <c r="K1126" t="n">
        <v>0</v>
      </c>
      <c r="L1126" t="n">
        <v>1</v>
      </c>
      <c r="M1126" t="n">
        <v>0</v>
      </c>
    </row>
    <row r="1127" spans="1:13">
      <c r="A1127" s="1">
        <f>HYPERLINK("http://www.twitter.com/NathanBLawrence/status/961405334702247936", "961405334702247936")</f>
        <v/>
      </c>
      <c r="B1127" s="2" t="n">
        <v>43139.04476851852</v>
      </c>
      <c r="C1127" t="n">
        <v>0</v>
      </c>
      <c r="D1127" t="n">
        <v>0</v>
      </c>
      <c r="E1127" t="s">
        <v>1138</v>
      </c>
      <c r="F1127" t="s"/>
      <c r="G1127" t="s"/>
      <c r="H1127" t="s"/>
      <c r="I1127" t="s"/>
      <c r="J1127" t="n">
        <v>0</v>
      </c>
      <c r="K1127" t="n">
        <v>0</v>
      </c>
      <c r="L1127" t="n">
        <v>1</v>
      </c>
      <c r="M1127" t="n">
        <v>0</v>
      </c>
    </row>
    <row r="1128" spans="1:13">
      <c r="A1128" s="1">
        <f>HYPERLINK("http://www.twitter.com/NathanBLawrence/status/961404525721653249", "961404525721653249")</f>
        <v/>
      </c>
      <c r="B1128" s="2" t="n">
        <v>43139.04253472222</v>
      </c>
      <c r="C1128" t="n">
        <v>0</v>
      </c>
      <c r="D1128" t="n">
        <v>0</v>
      </c>
      <c r="E1128" t="s">
        <v>1139</v>
      </c>
      <c r="F1128">
        <f>HYPERLINK("http://pbs.twimg.com/media/DVeYUKFU8AE_h--.jpg", "http://pbs.twimg.com/media/DVeYUKFU8AE_h--.jpg")</f>
        <v/>
      </c>
      <c r="G1128" t="s"/>
      <c r="H1128" t="s"/>
      <c r="I1128" t="s"/>
      <c r="J1128" t="n">
        <v>0</v>
      </c>
      <c r="K1128" t="n">
        <v>0</v>
      </c>
      <c r="L1128" t="n">
        <v>1</v>
      </c>
      <c r="M1128" t="n">
        <v>0</v>
      </c>
    </row>
    <row r="1129" spans="1:13">
      <c r="A1129" s="1">
        <f>HYPERLINK("http://www.twitter.com/NathanBLawrence/status/961402866404610049", "961402866404610049")</f>
        <v/>
      </c>
      <c r="B1129" s="2" t="n">
        <v>43139.03796296296</v>
      </c>
      <c r="C1129" t="n">
        <v>1</v>
      </c>
      <c r="D1129" t="n">
        <v>0</v>
      </c>
      <c r="E1129" t="s">
        <v>1140</v>
      </c>
      <c r="F1129" t="s"/>
      <c r="G1129" t="s"/>
      <c r="H1129" t="s"/>
      <c r="I1129" t="s"/>
      <c r="J1129" t="n">
        <v>0</v>
      </c>
      <c r="K1129" t="n">
        <v>0</v>
      </c>
      <c r="L1129" t="n">
        <v>1</v>
      </c>
      <c r="M1129" t="n">
        <v>0</v>
      </c>
    </row>
    <row r="1130" spans="1:13">
      <c r="A1130" s="1">
        <f>HYPERLINK("http://www.twitter.com/NathanBLawrence/status/961400788990988290", "961400788990988290")</f>
        <v/>
      </c>
      <c r="B1130" s="2" t="n">
        <v>43139.03222222222</v>
      </c>
      <c r="C1130" t="n">
        <v>0</v>
      </c>
      <c r="D1130" t="n">
        <v>1993</v>
      </c>
      <c r="E1130" t="s">
        <v>1141</v>
      </c>
      <c r="F1130" t="s"/>
      <c r="G1130" t="s"/>
      <c r="H1130" t="s"/>
      <c r="I1130" t="s"/>
      <c r="J1130" t="n">
        <v>-0.5423</v>
      </c>
      <c r="K1130" t="n">
        <v>0.158</v>
      </c>
      <c r="L1130" t="n">
        <v>0.788</v>
      </c>
      <c r="M1130" t="n">
        <v>0.054</v>
      </c>
    </row>
    <row r="1131" spans="1:13">
      <c r="A1131" s="1">
        <f>HYPERLINK("http://www.twitter.com/NathanBLawrence/status/961399264105639936", "961399264105639936")</f>
        <v/>
      </c>
      <c r="B1131" s="2" t="n">
        <v>43139.02802083334</v>
      </c>
      <c r="C1131" t="n">
        <v>0</v>
      </c>
      <c r="D1131" t="n">
        <v>137</v>
      </c>
      <c r="E1131" t="s">
        <v>1142</v>
      </c>
      <c r="F1131">
        <f>HYPERLINK("http://pbs.twimg.com/media/DVeEYr7WsAAFX6T.jpg", "http://pbs.twimg.com/media/DVeEYr7WsAAFX6T.jpg")</f>
        <v/>
      </c>
      <c r="G1131" t="s"/>
      <c r="H1131" t="s"/>
      <c r="I1131" t="s"/>
      <c r="J1131" t="n">
        <v>-0.6731</v>
      </c>
      <c r="K1131" t="n">
        <v>0.185</v>
      </c>
      <c r="L1131" t="n">
        <v>0.8149999999999999</v>
      </c>
      <c r="M1131" t="n">
        <v>0</v>
      </c>
    </row>
    <row r="1132" spans="1:13">
      <c r="A1132" s="1">
        <f>HYPERLINK("http://www.twitter.com/NathanBLawrence/status/961394791807442951", "961394791807442951")</f>
        <v/>
      </c>
      <c r="B1132" s="2" t="n">
        <v>43139.0156712963</v>
      </c>
      <c r="C1132" t="n">
        <v>0</v>
      </c>
      <c r="D1132" t="n">
        <v>1</v>
      </c>
      <c r="E1132" t="s">
        <v>1143</v>
      </c>
      <c r="F1132">
        <f>HYPERLINK("http://pbs.twimg.com/media/DVePWy9VQAAFNR_.jpg", "http://pbs.twimg.com/media/DVePWy9VQAAFNR_.jpg")</f>
        <v/>
      </c>
      <c r="G1132" t="s"/>
      <c r="H1132" t="s"/>
      <c r="I1132" t="s"/>
      <c r="J1132" t="n">
        <v>0</v>
      </c>
      <c r="K1132" t="n">
        <v>0</v>
      </c>
      <c r="L1132" t="n">
        <v>1</v>
      </c>
      <c r="M1132" t="n">
        <v>0</v>
      </c>
    </row>
    <row r="1133" spans="1:13">
      <c r="A1133" s="1">
        <f>HYPERLINK("http://www.twitter.com/NathanBLawrence/status/961393374795321344", "961393374795321344")</f>
        <v/>
      </c>
      <c r="B1133" s="2" t="n">
        <v>43139.01177083333</v>
      </c>
      <c r="C1133" t="n">
        <v>1</v>
      </c>
      <c r="D1133" t="n">
        <v>0</v>
      </c>
      <c r="E1133" t="s">
        <v>1144</v>
      </c>
      <c r="F1133" t="s"/>
      <c r="G1133" t="s"/>
      <c r="H1133" t="s"/>
      <c r="I1133" t="s"/>
      <c r="J1133" t="n">
        <v>-0.4404</v>
      </c>
      <c r="K1133" t="n">
        <v>0.081</v>
      </c>
      <c r="L1133" t="n">
        <v>0.919</v>
      </c>
      <c r="M1133" t="n">
        <v>0</v>
      </c>
    </row>
    <row r="1134" spans="1:13">
      <c r="A1134" s="1">
        <f>HYPERLINK("http://www.twitter.com/NathanBLawrence/status/961389499182977030", "961389499182977030")</f>
        <v/>
      </c>
      <c r="B1134" s="2" t="n">
        <v>43139.00107638889</v>
      </c>
      <c r="C1134" t="n">
        <v>1</v>
      </c>
      <c r="D1134" t="n">
        <v>2</v>
      </c>
      <c r="E1134" t="s">
        <v>1145</v>
      </c>
      <c r="F1134" t="s"/>
      <c r="G1134" t="s"/>
      <c r="H1134" t="s"/>
      <c r="I1134" t="s"/>
      <c r="J1134" t="n">
        <v>0.5719</v>
      </c>
      <c r="K1134" t="n">
        <v>0</v>
      </c>
      <c r="L1134" t="n">
        <v>0.861</v>
      </c>
      <c r="M1134" t="n">
        <v>0.139</v>
      </c>
    </row>
    <row r="1135" spans="1:13">
      <c r="A1135" s="1">
        <f>HYPERLINK("http://www.twitter.com/NathanBLawrence/status/961388415769022465", "961388415769022465")</f>
        <v/>
      </c>
      <c r="B1135" s="2" t="n">
        <v>43138.99807870371</v>
      </c>
      <c r="C1135" t="n">
        <v>0</v>
      </c>
      <c r="D1135" t="n">
        <v>0</v>
      </c>
      <c r="E1135" t="s">
        <v>1146</v>
      </c>
      <c r="F1135" t="s"/>
      <c r="G1135" t="s"/>
      <c r="H1135" t="s"/>
      <c r="I1135" t="s"/>
      <c r="J1135" t="n">
        <v>-0.5859</v>
      </c>
      <c r="K1135" t="n">
        <v>0.241</v>
      </c>
      <c r="L1135" t="n">
        <v>0.759</v>
      </c>
      <c r="M1135" t="n">
        <v>0</v>
      </c>
    </row>
    <row r="1136" spans="1:13">
      <c r="A1136" s="1">
        <f>HYPERLINK("http://www.twitter.com/NathanBLawrence/status/961382726195695621", "961382726195695621")</f>
        <v/>
      </c>
      <c r="B1136" s="2" t="n">
        <v>43138.98238425926</v>
      </c>
      <c r="C1136" t="n">
        <v>0</v>
      </c>
      <c r="D1136" t="n">
        <v>0</v>
      </c>
      <c r="E1136" t="s">
        <v>1147</v>
      </c>
      <c r="F1136" t="s"/>
      <c r="G1136" t="s"/>
      <c r="H1136" t="s"/>
      <c r="I1136" t="s"/>
      <c r="J1136" t="n">
        <v>0</v>
      </c>
      <c r="K1136" t="n">
        <v>0</v>
      </c>
      <c r="L1136" t="n">
        <v>1</v>
      </c>
      <c r="M1136" t="n">
        <v>0</v>
      </c>
    </row>
    <row r="1137" spans="1:13">
      <c r="A1137" s="1">
        <f>HYPERLINK("http://www.twitter.com/NathanBLawrence/status/961352906904604672", "961352906904604672")</f>
        <v/>
      </c>
      <c r="B1137" s="2" t="n">
        <v>43138.90009259259</v>
      </c>
      <c r="C1137" t="n">
        <v>0</v>
      </c>
      <c r="D1137" t="n">
        <v>177</v>
      </c>
      <c r="E1137" t="s">
        <v>1148</v>
      </c>
      <c r="F1137">
        <f>HYPERLINK("http://pbs.twimg.com/media/DVdFFi8VMAAg_tc.jpg", "http://pbs.twimg.com/media/DVdFFi8VMAAg_tc.jpg")</f>
        <v/>
      </c>
      <c r="G1137" t="s"/>
      <c r="H1137" t="s"/>
      <c r="I1137" t="s"/>
      <c r="J1137" t="n">
        <v>0.4215</v>
      </c>
      <c r="K1137" t="n">
        <v>0</v>
      </c>
      <c r="L1137" t="n">
        <v>0.877</v>
      </c>
      <c r="M1137" t="n">
        <v>0.123</v>
      </c>
    </row>
    <row r="1138" spans="1:13">
      <c r="A1138" s="1">
        <f>HYPERLINK("http://www.twitter.com/NathanBLawrence/status/961350068484919299", "961350068484919299")</f>
        <v/>
      </c>
      <c r="B1138" s="2" t="n">
        <v>43138.89226851852</v>
      </c>
      <c r="C1138" t="n">
        <v>0</v>
      </c>
      <c r="D1138" t="n">
        <v>10649</v>
      </c>
      <c r="E1138" t="s">
        <v>1149</v>
      </c>
      <c r="F1138" t="s"/>
      <c r="G1138" t="s"/>
      <c r="H1138" t="s"/>
      <c r="I1138" t="s"/>
      <c r="J1138" t="n">
        <v>-0.6124000000000001</v>
      </c>
      <c r="K1138" t="n">
        <v>0.208</v>
      </c>
      <c r="L1138" t="n">
        <v>0.792</v>
      </c>
      <c r="M1138" t="n">
        <v>0</v>
      </c>
    </row>
    <row r="1139" spans="1:13">
      <c r="A1139" s="1">
        <f>HYPERLINK("http://www.twitter.com/NathanBLawrence/status/961336719416201216", "961336719416201216")</f>
        <v/>
      </c>
      <c r="B1139" s="2" t="n">
        <v>43138.85542824074</v>
      </c>
      <c r="C1139" t="n">
        <v>0</v>
      </c>
      <c r="D1139" t="n">
        <v>698</v>
      </c>
      <c r="E1139" t="s">
        <v>1150</v>
      </c>
      <c r="F1139">
        <f>HYPERLINK("http://pbs.twimg.com/media/DVdQmnTWAAAIQYS.jpg", "http://pbs.twimg.com/media/DVdQmnTWAAAIQYS.jpg")</f>
        <v/>
      </c>
      <c r="G1139" t="s"/>
      <c r="H1139" t="s"/>
      <c r="I1139" t="s"/>
      <c r="J1139" t="n">
        <v>0.6016</v>
      </c>
      <c r="K1139" t="n">
        <v>0</v>
      </c>
      <c r="L1139" t="n">
        <v>0.843</v>
      </c>
      <c r="M1139" t="n">
        <v>0.157</v>
      </c>
    </row>
    <row r="1140" spans="1:13">
      <c r="A1140" s="1">
        <f>HYPERLINK("http://www.twitter.com/NathanBLawrence/status/961336575710957568", "961336575710957568")</f>
        <v/>
      </c>
      <c r="B1140" s="2" t="n">
        <v>43138.85503472222</v>
      </c>
      <c r="C1140" t="n">
        <v>0</v>
      </c>
      <c r="D1140" t="n">
        <v>8271</v>
      </c>
      <c r="E1140" t="s">
        <v>1151</v>
      </c>
      <c r="F1140">
        <f>HYPERLINK("http://pbs.twimg.com/media/DVc7dA2XcAAyRD7.jpg", "http://pbs.twimg.com/media/DVc7dA2XcAAyRD7.jpg")</f>
        <v/>
      </c>
      <c r="G1140" t="s"/>
      <c r="H1140" t="s"/>
      <c r="I1140" t="s"/>
      <c r="J1140" t="n">
        <v>0</v>
      </c>
      <c r="K1140" t="n">
        <v>0</v>
      </c>
      <c r="L1140" t="n">
        <v>1</v>
      </c>
      <c r="M1140" t="n">
        <v>0</v>
      </c>
    </row>
    <row r="1141" spans="1:13">
      <c r="A1141" s="1">
        <f>HYPERLINK("http://www.twitter.com/NathanBLawrence/status/961335973631221760", "961335973631221760")</f>
        <v/>
      </c>
      <c r="B1141" s="2" t="n">
        <v>43138.85336805556</v>
      </c>
      <c r="C1141" t="n">
        <v>0</v>
      </c>
      <c r="D1141" t="n">
        <v>3</v>
      </c>
      <c r="E1141" t="s">
        <v>1152</v>
      </c>
      <c r="F1141">
        <f>HYPERLINK("http://pbs.twimg.com/media/DVdZca_WsAARTY5.jpg", "http://pbs.twimg.com/media/DVdZca_WsAARTY5.jpg")</f>
        <v/>
      </c>
      <c r="G1141" t="s"/>
      <c r="H1141" t="s"/>
      <c r="I1141" t="s"/>
      <c r="J1141" t="n">
        <v>0.6369</v>
      </c>
      <c r="K1141" t="n">
        <v>0</v>
      </c>
      <c r="L1141" t="n">
        <v>0.794</v>
      </c>
      <c r="M1141" t="n">
        <v>0.206</v>
      </c>
    </row>
    <row r="1142" spans="1:13">
      <c r="A1142" s="1">
        <f>HYPERLINK("http://www.twitter.com/NathanBLawrence/status/961335941540601856", "961335941540601856")</f>
        <v/>
      </c>
      <c r="B1142" s="2" t="n">
        <v>43138.85327546296</v>
      </c>
      <c r="C1142" t="n">
        <v>0</v>
      </c>
      <c r="D1142" t="n">
        <v>2</v>
      </c>
      <c r="E1142" t="s">
        <v>1153</v>
      </c>
      <c r="F1142">
        <f>HYPERLINK("http://pbs.twimg.com/media/DVdZAnhXUAAtIL3.jpg", "http://pbs.twimg.com/media/DVdZAnhXUAAtIL3.jpg")</f>
        <v/>
      </c>
      <c r="G1142">
        <f>HYPERLINK("http://pbs.twimg.com/media/DVdZCLvWsAAhGhI.jpg", "http://pbs.twimg.com/media/DVdZCLvWsAAhGhI.jpg")</f>
        <v/>
      </c>
      <c r="H1142">
        <f>HYPERLINK("http://pbs.twimg.com/media/DVdZDs9W4AAbM7r.jpg", "http://pbs.twimg.com/media/DVdZDs9W4AAbM7r.jpg")</f>
        <v/>
      </c>
      <c r="I1142">
        <f>HYPERLINK("http://pbs.twimg.com/media/DVdZFsZWsAEWrGE.jpg", "http://pbs.twimg.com/media/DVdZFsZWsAEWrGE.jpg")</f>
        <v/>
      </c>
      <c r="J1142" t="n">
        <v>0.6369</v>
      </c>
      <c r="K1142" t="n">
        <v>0</v>
      </c>
      <c r="L1142" t="n">
        <v>0.794</v>
      </c>
      <c r="M1142" t="n">
        <v>0.206</v>
      </c>
    </row>
    <row r="1143" spans="1:13">
      <c r="A1143" s="1">
        <f>HYPERLINK("http://www.twitter.com/NathanBLawrence/status/961334817089642496", "961334817089642496")</f>
        <v/>
      </c>
      <c r="B1143" s="2" t="n">
        <v>43138.85017361111</v>
      </c>
      <c r="C1143" t="n">
        <v>0</v>
      </c>
      <c r="D1143" t="n">
        <v>2</v>
      </c>
      <c r="E1143" t="s">
        <v>1154</v>
      </c>
      <c r="F1143">
        <f>HYPERLINK("http://pbs.twimg.com/media/DVdYwBSWkAUEvwy.jpg", "http://pbs.twimg.com/media/DVdYwBSWkAUEvwy.jpg")</f>
        <v/>
      </c>
      <c r="G1143">
        <f>HYPERLINK("http://pbs.twimg.com/media/DVdYxVXWAAAprvB.jpg", "http://pbs.twimg.com/media/DVdYxVXWAAAprvB.jpg")</f>
        <v/>
      </c>
      <c r="H1143">
        <f>HYPERLINK("http://pbs.twimg.com/media/DVdYzMAWsAA1yvt.jpg", "http://pbs.twimg.com/media/DVdYzMAWsAA1yvt.jpg")</f>
        <v/>
      </c>
      <c r="I1143">
        <f>HYPERLINK("http://pbs.twimg.com/media/DVdY0-IXkAALO6U.jpg", "http://pbs.twimg.com/media/DVdY0-IXkAALO6U.jpg")</f>
        <v/>
      </c>
      <c r="J1143" t="n">
        <v>0.6369</v>
      </c>
      <c r="K1143" t="n">
        <v>0</v>
      </c>
      <c r="L1143" t="n">
        <v>0.794</v>
      </c>
      <c r="M1143" t="n">
        <v>0.206</v>
      </c>
    </row>
    <row r="1144" spans="1:13">
      <c r="A1144" s="1">
        <f>HYPERLINK("http://www.twitter.com/NathanBLawrence/status/961334798219390976", "961334798219390976")</f>
        <v/>
      </c>
      <c r="B1144" s="2" t="n">
        <v>43138.85012731481</v>
      </c>
      <c r="C1144" t="n">
        <v>0</v>
      </c>
      <c r="D1144" t="n">
        <v>3</v>
      </c>
      <c r="E1144" t="s">
        <v>1155</v>
      </c>
      <c r="F1144">
        <f>HYPERLINK("http://pbs.twimg.com/media/DVdXhP8VoAAQCoF.jpg", "http://pbs.twimg.com/media/DVdXhP8VoAAQCoF.jpg")</f>
        <v/>
      </c>
      <c r="G1144">
        <f>HYPERLINK("http://pbs.twimg.com/media/DVdXi2dVMAAGC_v.jpg", "http://pbs.twimg.com/media/DVdXi2dVMAAGC_v.jpg")</f>
        <v/>
      </c>
      <c r="H1144">
        <f>HYPERLINK("http://pbs.twimg.com/media/DVdXki9UMAAKaDZ.jpg", "http://pbs.twimg.com/media/DVdXki9UMAAKaDZ.jpg")</f>
        <v/>
      </c>
      <c r="I1144">
        <f>HYPERLINK("http://pbs.twimg.com/media/DVdXl9qU0AARbl7.jpg", "http://pbs.twimg.com/media/DVdXl9qU0AARbl7.jpg")</f>
        <v/>
      </c>
      <c r="J1144" t="n">
        <v>0.6369</v>
      </c>
      <c r="K1144" t="n">
        <v>0</v>
      </c>
      <c r="L1144" t="n">
        <v>0.794</v>
      </c>
      <c r="M1144" t="n">
        <v>0.206</v>
      </c>
    </row>
    <row r="1145" spans="1:13">
      <c r="A1145" s="1">
        <f>HYPERLINK("http://www.twitter.com/NathanBLawrence/status/961334783866482688", "961334783866482688")</f>
        <v/>
      </c>
      <c r="B1145" s="2" t="n">
        <v>43138.85008101852</v>
      </c>
      <c r="C1145" t="n">
        <v>0</v>
      </c>
      <c r="D1145" t="n">
        <v>2</v>
      </c>
      <c r="E1145" t="s">
        <v>1156</v>
      </c>
      <c r="F1145">
        <f>HYPERLINK("http://pbs.twimg.com/media/DVdWxqlXkAERqjX.jpg", "http://pbs.twimg.com/media/DVdWxqlXkAERqjX.jpg")</f>
        <v/>
      </c>
      <c r="G1145">
        <f>HYPERLINK("http://pbs.twimg.com/media/DVdW0Z-X0AIb8EE.jpg", "http://pbs.twimg.com/media/DVdW0Z-X0AIb8EE.jpg")</f>
        <v/>
      </c>
      <c r="H1145">
        <f>HYPERLINK("http://pbs.twimg.com/media/DVdW10qXkAAkLNO.jpg", "http://pbs.twimg.com/media/DVdW10qXkAAkLNO.jpg")</f>
        <v/>
      </c>
      <c r="I1145">
        <f>HYPERLINK("http://pbs.twimg.com/media/DVdW3NGWsAAvc1D.jpg", "http://pbs.twimg.com/media/DVdW3NGWsAAvc1D.jpg")</f>
        <v/>
      </c>
      <c r="J1145" t="n">
        <v>0.6369</v>
      </c>
      <c r="K1145" t="n">
        <v>0</v>
      </c>
      <c r="L1145" t="n">
        <v>0.785</v>
      </c>
      <c r="M1145" t="n">
        <v>0.215</v>
      </c>
    </row>
    <row r="1146" spans="1:13">
      <c r="A1146" s="1">
        <f>HYPERLINK("http://www.twitter.com/NathanBLawrence/status/961334768699957249", "961334768699957249")</f>
        <v/>
      </c>
      <c r="B1146" s="2" t="n">
        <v>43138.8500462963</v>
      </c>
      <c r="C1146" t="n">
        <v>0</v>
      </c>
      <c r="D1146" t="n">
        <v>3</v>
      </c>
      <c r="E1146" t="s">
        <v>1157</v>
      </c>
      <c r="F1146">
        <f>HYPERLINK("http://pbs.twimg.com/media/DVdVtvpW0AAFB3J.jpg", "http://pbs.twimg.com/media/DVdVtvpW0AAFB3J.jpg")</f>
        <v/>
      </c>
      <c r="G1146">
        <f>HYPERLINK("http://pbs.twimg.com/media/DVdVvgpXkAItAfn.jpg", "http://pbs.twimg.com/media/DVdVvgpXkAItAfn.jpg")</f>
        <v/>
      </c>
      <c r="H1146">
        <f>HYPERLINK("http://pbs.twimg.com/media/DVdVxSdXcAAcSm9.jpg", "http://pbs.twimg.com/media/DVdVxSdXcAAcSm9.jpg")</f>
        <v/>
      </c>
      <c r="I1146">
        <f>HYPERLINK("http://pbs.twimg.com/media/DVdVyfaWsAE3l-Q.jpg", "http://pbs.twimg.com/media/DVdVyfaWsAE3l-Q.jpg")</f>
        <v/>
      </c>
      <c r="J1146" t="n">
        <v>0.6369</v>
      </c>
      <c r="K1146" t="n">
        <v>0</v>
      </c>
      <c r="L1146" t="n">
        <v>0.794</v>
      </c>
      <c r="M1146" t="n">
        <v>0.206</v>
      </c>
    </row>
    <row r="1147" spans="1:13">
      <c r="A1147" s="1">
        <f>HYPERLINK("http://www.twitter.com/NathanBLawrence/status/961334739880816641", "961334739880816641")</f>
        <v/>
      </c>
      <c r="B1147" s="2" t="n">
        <v>43138.84996527778</v>
      </c>
      <c r="C1147" t="n">
        <v>0</v>
      </c>
      <c r="D1147" t="n">
        <v>10</v>
      </c>
      <c r="E1147" t="s">
        <v>1158</v>
      </c>
      <c r="F1147">
        <f>HYPERLINK("http://pbs.twimg.com/media/DVdT013WkAAQc-o.jpg", "http://pbs.twimg.com/media/DVdT013WkAAQc-o.jpg")</f>
        <v/>
      </c>
      <c r="G1147">
        <f>HYPERLINK("http://pbs.twimg.com/media/DVdT3qmWkAARCjH.jpg", "http://pbs.twimg.com/media/DVdT3qmWkAARCjH.jpg")</f>
        <v/>
      </c>
      <c r="H1147">
        <f>HYPERLINK("http://pbs.twimg.com/media/DVdT49YW0AEaPeP.jpg", "http://pbs.twimg.com/media/DVdT49YW0AEaPeP.jpg")</f>
        <v/>
      </c>
      <c r="I1147">
        <f>HYPERLINK("http://pbs.twimg.com/media/DVdT6SEW0AEjPRo.jpg", "http://pbs.twimg.com/media/DVdT6SEW0AEjPRo.jpg")</f>
        <v/>
      </c>
      <c r="J1147" t="n">
        <v>0.6369</v>
      </c>
      <c r="K1147" t="n">
        <v>0</v>
      </c>
      <c r="L1147" t="n">
        <v>0.794</v>
      </c>
      <c r="M1147" t="n">
        <v>0.206</v>
      </c>
    </row>
    <row r="1148" spans="1:13">
      <c r="A1148" s="1">
        <f>HYPERLINK("http://www.twitter.com/NathanBLawrence/status/961325560763953153", "961325560763953153")</f>
        <v/>
      </c>
      <c r="B1148" s="2" t="n">
        <v>43138.82462962963</v>
      </c>
      <c r="C1148" t="n">
        <v>1</v>
      </c>
      <c r="D1148" t="n">
        <v>0</v>
      </c>
      <c r="E1148" t="s">
        <v>1159</v>
      </c>
      <c r="F1148" t="s"/>
      <c r="G1148" t="s"/>
      <c r="H1148" t="s"/>
      <c r="I1148" t="s"/>
      <c r="J1148" t="n">
        <v>0</v>
      </c>
      <c r="K1148" t="n">
        <v>0</v>
      </c>
      <c r="L1148" t="n">
        <v>1</v>
      </c>
      <c r="M1148" t="n">
        <v>0</v>
      </c>
    </row>
    <row r="1149" spans="1:13">
      <c r="A1149" s="1">
        <f>HYPERLINK("http://www.twitter.com/NathanBLawrence/status/961315928343568384", "961315928343568384")</f>
        <v/>
      </c>
      <c r="B1149" s="2" t="n">
        <v>43138.79805555556</v>
      </c>
      <c r="C1149" t="n">
        <v>0</v>
      </c>
      <c r="D1149" t="n">
        <v>8804</v>
      </c>
      <c r="E1149" t="s">
        <v>1160</v>
      </c>
      <c r="F1149" t="s"/>
      <c r="G1149" t="s"/>
      <c r="H1149" t="s"/>
      <c r="I1149" t="s"/>
      <c r="J1149" t="n">
        <v>0</v>
      </c>
      <c r="K1149" t="n">
        <v>0</v>
      </c>
      <c r="L1149" t="n">
        <v>1</v>
      </c>
      <c r="M1149" t="n">
        <v>0</v>
      </c>
    </row>
    <row r="1150" spans="1:13">
      <c r="A1150" s="1">
        <f>HYPERLINK("http://www.twitter.com/NathanBLawrence/status/961299221604392960", "961299221604392960")</f>
        <v/>
      </c>
      <c r="B1150" s="2" t="n">
        <v>43138.75195601852</v>
      </c>
      <c r="C1150" t="n">
        <v>1</v>
      </c>
      <c r="D1150" t="n">
        <v>0</v>
      </c>
      <c r="E1150" t="s">
        <v>1161</v>
      </c>
      <c r="F1150" t="s"/>
      <c r="G1150" t="s"/>
      <c r="H1150" t="s"/>
      <c r="I1150" t="s"/>
      <c r="J1150" t="n">
        <v>0</v>
      </c>
      <c r="K1150" t="n">
        <v>0</v>
      </c>
      <c r="L1150" t="n">
        <v>1</v>
      </c>
      <c r="M1150" t="n">
        <v>0</v>
      </c>
    </row>
    <row r="1151" spans="1:13">
      <c r="A1151" s="1">
        <f>HYPERLINK("http://www.twitter.com/NathanBLawrence/status/961298603284234246", "961298603284234246")</f>
        <v/>
      </c>
      <c r="B1151" s="2" t="n">
        <v>43138.75024305555</v>
      </c>
      <c r="C1151" t="n">
        <v>1</v>
      </c>
      <c r="D1151" t="n">
        <v>0</v>
      </c>
      <c r="E1151" t="s">
        <v>1162</v>
      </c>
      <c r="F1151" t="s"/>
      <c r="G1151" t="s"/>
      <c r="H1151" t="s"/>
      <c r="I1151" t="s"/>
      <c r="J1151" t="n">
        <v>0</v>
      </c>
      <c r="K1151" t="n">
        <v>0</v>
      </c>
      <c r="L1151" t="n">
        <v>1</v>
      </c>
      <c r="M1151" t="n">
        <v>0</v>
      </c>
    </row>
    <row r="1152" spans="1:13">
      <c r="A1152" s="1">
        <f>HYPERLINK("http://www.twitter.com/NathanBLawrence/status/961297499540598784", "961297499540598784")</f>
        <v/>
      </c>
      <c r="B1152" s="2" t="n">
        <v>43138.74719907407</v>
      </c>
      <c r="C1152" t="n">
        <v>0</v>
      </c>
      <c r="D1152" t="n">
        <v>267</v>
      </c>
      <c r="E1152" t="s">
        <v>1163</v>
      </c>
      <c r="F1152" t="s"/>
      <c r="G1152" t="s"/>
      <c r="H1152" t="s"/>
      <c r="I1152" t="s"/>
      <c r="J1152" t="n">
        <v>0.6022</v>
      </c>
      <c r="K1152" t="n">
        <v>0</v>
      </c>
      <c r="L1152" t="n">
        <v>0.8100000000000001</v>
      </c>
      <c r="M1152" t="n">
        <v>0.19</v>
      </c>
    </row>
    <row r="1153" spans="1:13">
      <c r="A1153" s="1">
        <f>HYPERLINK("http://www.twitter.com/NathanBLawrence/status/961297036971859970", "961297036971859970")</f>
        <v/>
      </c>
      <c r="B1153" s="2" t="n">
        <v>43138.74592592593</v>
      </c>
      <c r="C1153" t="n">
        <v>0</v>
      </c>
      <c r="D1153" t="n">
        <v>0</v>
      </c>
      <c r="E1153" t="s">
        <v>1164</v>
      </c>
      <c r="F1153" t="s"/>
      <c r="G1153" t="s"/>
      <c r="H1153" t="s"/>
      <c r="I1153" t="s"/>
      <c r="J1153" t="n">
        <v>0.6207</v>
      </c>
      <c r="K1153" t="n">
        <v>0</v>
      </c>
      <c r="L1153" t="n">
        <v>0.72</v>
      </c>
      <c r="M1153" t="n">
        <v>0.28</v>
      </c>
    </row>
    <row r="1154" spans="1:13">
      <c r="A1154" s="1">
        <f>HYPERLINK("http://www.twitter.com/NathanBLawrence/status/961296401291468806", "961296401291468806")</f>
        <v/>
      </c>
      <c r="B1154" s="2" t="n">
        <v>43138.74416666666</v>
      </c>
      <c r="C1154" t="n">
        <v>0</v>
      </c>
      <c r="D1154" t="n">
        <v>7821</v>
      </c>
      <c r="E1154" t="s">
        <v>1165</v>
      </c>
      <c r="F1154">
        <f>HYPERLINK("http://pbs.twimg.com/media/DVcz1WzWAAANlPb.jpg", "http://pbs.twimg.com/media/DVcz1WzWAAANlPb.jpg")</f>
        <v/>
      </c>
      <c r="G1154" t="s"/>
      <c r="H1154" t="s"/>
      <c r="I1154" t="s"/>
      <c r="J1154" t="n">
        <v>0</v>
      </c>
      <c r="K1154" t="n">
        <v>0</v>
      </c>
      <c r="L1154" t="n">
        <v>1</v>
      </c>
      <c r="M1154" t="n">
        <v>0</v>
      </c>
    </row>
    <row r="1155" spans="1:13">
      <c r="A1155" s="1">
        <f>HYPERLINK("http://www.twitter.com/NathanBLawrence/status/961295459728928768", "961295459728928768")</f>
        <v/>
      </c>
      <c r="B1155" s="2" t="n">
        <v>43138.74157407408</v>
      </c>
      <c r="C1155" t="n">
        <v>0</v>
      </c>
      <c r="D1155" t="n">
        <v>263</v>
      </c>
      <c r="E1155" t="s">
        <v>1166</v>
      </c>
      <c r="F1155" t="s"/>
      <c r="G1155" t="s"/>
      <c r="H1155" t="s"/>
      <c r="I1155" t="s"/>
      <c r="J1155" t="n">
        <v>-0.7351</v>
      </c>
      <c r="K1155" t="n">
        <v>0.408</v>
      </c>
      <c r="L1155" t="n">
        <v>0.592</v>
      </c>
      <c r="M1155" t="n">
        <v>0</v>
      </c>
    </row>
    <row r="1156" spans="1:13">
      <c r="A1156" s="1">
        <f>HYPERLINK("http://www.twitter.com/NathanBLawrence/status/961295085014061056", "961295085014061056")</f>
        <v/>
      </c>
      <c r="B1156" s="2" t="n">
        <v>43138.74053240741</v>
      </c>
      <c r="C1156" t="n">
        <v>0</v>
      </c>
      <c r="D1156" t="n">
        <v>547</v>
      </c>
      <c r="E1156" t="s">
        <v>1167</v>
      </c>
      <c r="F1156">
        <f>HYPERLINK("http://pbs.twimg.com/media/DVci6klU8AAUCVU.jpg", "http://pbs.twimg.com/media/DVci6klU8AAUCVU.jpg")</f>
        <v/>
      </c>
      <c r="G1156" t="s"/>
      <c r="H1156" t="s"/>
      <c r="I1156" t="s"/>
      <c r="J1156" t="n">
        <v>-0.6258</v>
      </c>
      <c r="K1156" t="n">
        <v>0.212</v>
      </c>
      <c r="L1156" t="n">
        <v>0.717</v>
      </c>
      <c r="M1156" t="n">
        <v>0.07099999999999999</v>
      </c>
    </row>
    <row r="1157" spans="1:13">
      <c r="A1157" s="1">
        <f>HYPERLINK("http://www.twitter.com/NathanBLawrence/status/961292959802118145", "961292959802118145")</f>
        <v/>
      </c>
      <c r="B1157" s="2" t="n">
        <v>43138.73467592592</v>
      </c>
      <c r="C1157" t="n">
        <v>0</v>
      </c>
      <c r="D1157" t="n">
        <v>1</v>
      </c>
      <c r="E1157" t="s">
        <v>1168</v>
      </c>
      <c r="F1157" t="s"/>
      <c r="G1157" t="s"/>
      <c r="H1157" t="s"/>
      <c r="I1157" t="s"/>
      <c r="J1157" t="n">
        <v>0</v>
      </c>
      <c r="K1157" t="n">
        <v>0</v>
      </c>
      <c r="L1157" t="n">
        <v>1</v>
      </c>
      <c r="M1157" t="n">
        <v>0</v>
      </c>
    </row>
    <row r="1158" spans="1:13">
      <c r="A1158" s="1">
        <f>HYPERLINK("http://www.twitter.com/NathanBLawrence/status/961292381193678849", "961292381193678849")</f>
        <v/>
      </c>
      <c r="B1158" s="2" t="n">
        <v>43138.73307870371</v>
      </c>
      <c r="C1158" t="n">
        <v>0</v>
      </c>
      <c r="D1158" t="n">
        <v>0</v>
      </c>
      <c r="E1158" t="s">
        <v>1169</v>
      </c>
      <c r="F1158" t="s"/>
      <c r="G1158" t="s"/>
      <c r="H1158" t="s"/>
      <c r="I1158" t="s"/>
      <c r="J1158" t="n">
        <v>0</v>
      </c>
      <c r="K1158" t="n">
        <v>0</v>
      </c>
      <c r="L1158" t="n">
        <v>1</v>
      </c>
      <c r="M1158" t="n">
        <v>0</v>
      </c>
    </row>
    <row r="1159" spans="1:13">
      <c r="A1159" s="1">
        <f>HYPERLINK("http://www.twitter.com/NathanBLawrence/status/961290783717515264", "961290783717515264")</f>
        <v/>
      </c>
      <c r="B1159" s="2" t="n">
        <v>43138.72866898148</v>
      </c>
      <c r="C1159" t="n">
        <v>0</v>
      </c>
      <c r="D1159" t="n">
        <v>0</v>
      </c>
      <c r="E1159" t="s">
        <v>1170</v>
      </c>
      <c r="F1159" t="s"/>
      <c r="G1159" t="s"/>
      <c r="H1159" t="s"/>
      <c r="I1159" t="s"/>
      <c r="J1159" t="n">
        <v>0</v>
      </c>
      <c r="K1159" t="n">
        <v>0</v>
      </c>
      <c r="L1159" t="n">
        <v>1</v>
      </c>
      <c r="M1159" t="n">
        <v>0</v>
      </c>
    </row>
    <row r="1160" spans="1:13">
      <c r="A1160" s="1">
        <f>HYPERLINK("http://www.twitter.com/NathanBLawrence/status/961289113252089858", "961289113252089858")</f>
        <v/>
      </c>
      <c r="B1160" s="2" t="n">
        <v>43138.7240625</v>
      </c>
      <c r="C1160" t="n">
        <v>2</v>
      </c>
      <c r="D1160" t="n">
        <v>0</v>
      </c>
      <c r="E1160" t="s">
        <v>1171</v>
      </c>
      <c r="F1160" t="s"/>
      <c r="G1160" t="s"/>
      <c r="H1160" t="s"/>
      <c r="I1160" t="s"/>
      <c r="J1160" t="n">
        <v>0</v>
      </c>
      <c r="K1160" t="n">
        <v>0</v>
      </c>
      <c r="L1160" t="n">
        <v>1</v>
      </c>
      <c r="M1160" t="n">
        <v>0</v>
      </c>
    </row>
    <row r="1161" spans="1:13">
      <c r="A1161" s="1">
        <f>HYPERLINK("http://www.twitter.com/NathanBLawrence/status/961288469585760256", "961288469585760256")</f>
        <v/>
      </c>
      <c r="B1161" s="2" t="n">
        <v>43138.7222800926</v>
      </c>
      <c r="C1161" t="n">
        <v>3</v>
      </c>
      <c r="D1161" t="n">
        <v>0</v>
      </c>
      <c r="E1161" t="s">
        <v>1172</v>
      </c>
      <c r="F1161" t="s"/>
      <c r="G1161" t="s"/>
      <c r="H1161" t="s"/>
      <c r="I1161" t="s"/>
      <c r="J1161" t="n">
        <v>-0.5859</v>
      </c>
      <c r="K1161" t="n">
        <v>0.231</v>
      </c>
      <c r="L1161" t="n">
        <v>0.769</v>
      </c>
      <c r="M1161" t="n">
        <v>0</v>
      </c>
    </row>
    <row r="1162" spans="1:13">
      <c r="A1162" s="1">
        <f>HYPERLINK("http://www.twitter.com/NathanBLawrence/status/961287841438404608", "961287841438404608")</f>
        <v/>
      </c>
      <c r="B1162" s="2" t="n">
        <v>43138.72054398148</v>
      </c>
      <c r="C1162" t="n">
        <v>0</v>
      </c>
      <c r="D1162" t="n">
        <v>38245</v>
      </c>
      <c r="E1162" t="s">
        <v>1173</v>
      </c>
      <c r="F1162" t="s"/>
      <c r="G1162" t="s"/>
      <c r="H1162" t="s"/>
      <c r="I1162" t="s"/>
      <c r="J1162" t="n">
        <v>0</v>
      </c>
      <c r="K1162" t="n">
        <v>0</v>
      </c>
      <c r="L1162" t="n">
        <v>1</v>
      </c>
      <c r="M1162" t="n">
        <v>0</v>
      </c>
    </row>
    <row r="1163" spans="1:13">
      <c r="A1163" s="1">
        <f>HYPERLINK("http://www.twitter.com/NathanBLawrence/status/961231566780452864", "961231566780452864")</f>
        <v/>
      </c>
      <c r="B1163" s="2" t="n">
        <v>43138.56525462963</v>
      </c>
      <c r="C1163" t="n">
        <v>0</v>
      </c>
      <c r="D1163" t="n">
        <v>0</v>
      </c>
      <c r="E1163" t="s">
        <v>1174</v>
      </c>
      <c r="F1163" t="s"/>
      <c r="G1163" t="s"/>
      <c r="H1163" t="s"/>
      <c r="I1163" t="s"/>
      <c r="J1163" t="n">
        <v>0</v>
      </c>
      <c r="K1163" t="n">
        <v>0</v>
      </c>
      <c r="L1163" t="n">
        <v>1</v>
      </c>
      <c r="M1163" t="n">
        <v>0</v>
      </c>
    </row>
    <row r="1164" spans="1:13">
      <c r="A1164" s="1">
        <f>HYPERLINK("http://www.twitter.com/NathanBLawrence/status/961105397271744512", "961105397271744512")</f>
        <v/>
      </c>
      <c r="B1164" s="2" t="n">
        <v>43138.21709490741</v>
      </c>
      <c r="C1164" t="n">
        <v>0</v>
      </c>
      <c r="D1164" t="n">
        <v>33</v>
      </c>
      <c r="E1164" t="s">
        <v>1175</v>
      </c>
      <c r="F1164">
        <f>HYPERLINK("http://pbs.twimg.com/media/DVZ3XFHVoAE2wgg.jpg", "http://pbs.twimg.com/media/DVZ3XFHVoAE2wgg.jpg")</f>
        <v/>
      </c>
      <c r="G1164" t="s"/>
      <c r="H1164" t="s"/>
      <c r="I1164" t="s"/>
      <c r="J1164" t="n">
        <v>0</v>
      </c>
      <c r="K1164" t="n">
        <v>0</v>
      </c>
      <c r="L1164" t="n">
        <v>1</v>
      </c>
      <c r="M1164" t="n">
        <v>0</v>
      </c>
    </row>
    <row r="1165" spans="1:13">
      <c r="A1165" s="1">
        <f>HYPERLINK("http://www.twitter.com/NathanBLawrence/status/961097563326775296", "961097563326775296")</f>
        <v/>
      </c>
      <c r="B1165" s="2" t="n">
        <v>43138.19548611111</v>
      </c>
      <c r="C1165" t="n">
        <v>0</v>
      </c>
      <c r="D1165" t="n">
        <v>420</v>
      </c>
      <c r="E1165" t="s">
        <v>1176</v>
      </c>
      <c r="F1165" t="s"/>
      <c r="G1165" t="s"/>
      <c r="H1165" t="s"/>
      <c r="I1165" t="s"/>
      <c r="J1165" t="n">
        <v>-0.6166</v>
      </c>
      <c r="K1165" t="n">
        <v>0.212</v>
      </c>
      <c r="L1165" t="n">
        <v>0.788</v>
      </c>
      <c r="M1165" t="n">
        <v>0</v>
      </c>
    </row>
    <row r="1166" spans="1:13">
      <c r="A1166" s="1">
        <f>HYPERLINK("http://www.twitter.com/NathanBLawrence/status/961090578002993152", "961090578002993152")</f>
        <v/>
      </c>
      <c r="B1166" s="2" t="n">
        <v>43138.1762037037</v>
      </c>
      <c r="C1166" t="n">
        <v>0</v>
      </c>
      <c r="D1166" t="n">
        <v>1</v>
      </c>
      <c r="E1166" t="s">
        <v>1177</v>
      </c>
      <c r="F1166" t="s"/>
      <c r="G1166" t="s"/>
      <c r="H1166" t="s"/>
      <c r="I1166" t="s"/>
      <c r="J1166" t="n">
        <v>0</v>
      </c>
      <c r="K1166" t="n">
        <v>0</v>
      </c>
      <c r="L1166" t="n">
        <v>1</v>
      </c>
      <c r="M1166" t="n">
        <v>0</v>
      </c>
    </row>
    <row r="1167" spans="1:13">
      <c r="A1167" s="1">
        <f>HYPERLINK("http://www.twitter.com/NathanBLawrence/status/961090521631547392", "961090521631547392")</f>
        <v/>
      </c>
      <c r="B1167" s="2" t="n">
        <v>43138.17605324074</v>
      </c>
      <c r="C1167" t="n">
        <v>1</v>
      </c>
      <c r="D1167" t="n">
        <v>0</v>
      </c>
      <c r="E1167" t="s">
        <v>1178</v>
      </c>
      <c r="F1167" t="s"/>
      <c r="G1167" t="s"/>
      <c r="H1167" t="s"/>
      <c r="I1167" t="s"/>
      <c r="J1167" t="n">
        <v>0</v>
      </c>
      <c r="K1167" t="n">
        <v>0</v>
      </c>
      <c r="L1167" t="n">
        <v>1</v>
      </c>
      <c r="M1167" t="n">
        <v>0</v>
      </c>
    </row>
    <row r="1168" spans="1:13">
      <c r="A1168" s="1">
        <f>HYPERLINK("http://www.twitter.com/NathanBLawrence/status/961081338207047680", "961081338207047680")</f>
        <v/>
      </c>
      <c r="B1168" s="2" t="n">
        <v>43138.15070601852</v>
      </c>
      <c r="C1168" t="n">
        <v>0</v>
      </c>
      <c r="D1168" t="n">
        <v>2123</v>
      </c>
      <c r="E1168" t="s">
        <v>1179</v>
      </c>
      <c r="F1168" t="s"/>
      <c r="G1168" t="s"/>
      <c r="H1168" t="s"/>
      <c r="I1168" t="s"/>
      <c r="J1168" t="n">
        <v>-0.5266999999999999</v>
      </c>
      <c r="K1168" t="n">
        <v>0.152</v>
      </c>
      <c r="L1168" t="n">
        <v>0.848</v>
      </c>
      <c r="M1168" t="n">
        <v>0</v>
      </c>
    </row>
    <row r="1169" spans="1:13">
      <c r="A1169" s="1">
        <f>HYPERLINK("http://www.twitter.com/NathanBLawrence/status/961080622499422208", "961080622499422208")</f>
        <v/>
      </c>
      <c r="B1169" s="2" t="n">
        <v>43138.14873842592</v>
      </c>
      <c r="C1169" t="n">
        <v>0</v>
      </c>
      <c r="D1169" t="n">
        <v>2524</v>
      </c>
      <c r="E1169" t="s">
        <v>1180</v>
      </c>
      <c r="F1169">
        <f>HYPERLINK("http://pbs.twimg.com/media/DVZqfTaVAAIhiml.jpg", "http://pbs.twimg.com/media/DVZqfTaVAAIhiml.jpg")</f>
        <v/>
      </c>
      <c r="G1169">
        <f>HYPERLINK("http://pbs.twimg.com/media/DVZqg5zVwAExKHq.jpg", "http://pbs.twimg.com/media/DVZqg5zVwAExKHq.jpg")</f>
        <v/>
      </c>
      <c r="H1169">
        <f>HYPERLINK("http://pbs.twimg.com/media/DVZqiSNUMAAdOsL.jpg", "http://pbs.twimg.com/media/DVZqiSNUMAAdOsL.jpg")</f>
        <v/>
      </c>
      <c r="I1169">
        <f>HYPERLINK("http://pbs.twimg.com/media/DVZqj3wUQAAnhCA.jpg", "http://pbs.twimg.com/media/DVZqj3wUQAAnhCA.jpg")</f>
        <v/>
      </c>
      <c r="J1169" t="n">
        <v>0</v>
      </c>
      <c r="K1169" t="n">
        <v>0</v>
      </c>
      <c r="L1169" t="n">
        <v>1</v>
      </c>
      <c r="M1169" t="n">
        <v>0</v>
      </c>
    </row>
    <row r="1170" spans="1:13">
      <c r="A1170" s="1">
        <f>HYPERLINK("http://www.twitter.com/NathanBLawrence/status/961071253598752768", "961071253598752768")</f>
        <v/>
      </c>
      <c r="B1170" s="2" t="n">
        <v>43138.12288194444</v>
      </c>
      <c r="C1170" t="n">
        <v>2</v>
      </c>
      <c r="D1170" t="n">
        <v>1</v>
      </c>
      <c r="E1170" t="s">
        <v>1181</v>
      </c>
      <c r="F1170" t="s"/>
      <c r="G1170" t="s"/>
      <c r="H1170" t="s"/>
      <c r="I1170" t="s"/>
      <c r="J1170" t="n">
        <v>-0.4877</v>
      </c>
      <c r="K1170" t="n">
        <v>0.283</v>
      </c>
      <c r="L1170" t="n">
        <v>0.717</v>
      </c>
      <c r="M1170" t="n">
        <v>0</v>
      </c>
    </row>
    <row r="1171" spans="1:13">
      <c r="A1171" s="1">
        <f>HYPERLINK("http://www.twitter.com/NathanBLawrence/status/961032213138681857", "961032213138681857")</f>
        <v/>
      </c>
      <c r="B1171" s="2" t="n">
        <v>43138.01515046296</v>
      </c>
      <c r="C1171" t="n">
        <v>0</v>
      </c>
      <c r="D1171" t="n">
        <v>0</v>
      </c>
      <c r="E1171" t="s">
        <v>1182</v>
      </c>
      <c r="F1171" t="s"/>
      <c r="G1171" t="s"/>
      <c r="H1171" t="s"/>
      <c r="I1171" t="s"/>
      <c r="J1171" t="n">
        <v>0.5266999999999999</v>
      </c>
      <c r="K1171" t="n">
        <v>0</v>
      </c>
      <c r="L1171" t="n">
        <v>0.732</v>
      </c>
      <c r="M1171" t="n">
        <v>0.268</v>
      </c>
    </row>
    <row r="1172" spans="1:13">
      <c r="A1172" s="1">
        <f>HYPERLINK("http://www.twitter.com/NathanBLawrence/status/961031564053315585", "961031564053315585")</f>
        <v/>
      </c>
      <c r="B1172" s="2" t="n">
        <v>43138.01335648148</v>
      </c>
      <c r="C1172" t="n">
        <v>2</v>
      </c>
      <c r="D1172" t="n">
        <v>0</v>
      </c>
      <c r="E1172" t="s">
        <v>1183</v>
      </c>
      <c r="F1172" t="s"/>
      <c r="G1172" t="s"/>
      <c r="H1172" t="s"/>
      <c r="I1172" t="s"/>
      <c r="J1172" t="n">
        <v>0.4215</v>
      </c>
      <c r="K1172" t="n">
        <v>0</v>
      </c>
      <c r="L1172" t="n">
        <v>0.887</v>
      </c>
      <c r="M1172" t="n">
        <v>0.113</v>
      </c>
    </row>
    <row r="1173" spans="1:13">
      <c r="A1173" s="1">
        <f>HYPERLINK("http://www.twitter.com/NathanBLawrence/status/960990110966743040", "960990110966743040")</f>
        <v/>
      </c>
      <c r="B1173" s="2" t="n">
        <v>43137.89896990741</v>
      </c>
      <c r="C1173" t="n">
        <v>0</v>
      </c>
      <c r="D1173" t="n">
        <v>0</v>
      </c>
      <c r="E1173" t="s">
        <v>1184</v>
      </c>
      <c r="F1173" t="s"/>
      <c r="G1173" t="s"/>
      <c r="H1173" t="s"/>
      <c r="I1173" t="s"/>
      <c r="J1173" t="n">
        <v>0.6249</v>
      </c>
      <c r="K1173" t="n">
        <v>0.107</v>
      </c>
      <c r="L1173" t="n">
        <v>0.617</v>
      </c>
      <c r="M1173" t="n">
        <v>0.276</v>
      </c>
    </row>
    <row r="1174" spans="1:13">
      <c r="A1174" s="1">
        <f>HYPERLINK("http://www.twitter.com/NathanBLawrence/status/960988168005840902", "960988168005840902")</f>
        <v/>
      </c>
      <c r="B1174" s="2" t="n">
        <v>43137.89361111111</v>
      </c>
      <c r="C1174" t="n">
        <v>0</v>
      </c>
      <c r="D1174" t="n">
        <v>0</v>
      </c>
      <c r="E1174" t="s">
        <v>1185</v>
      </c>
      <c r="F1174" t="s"/>
      <c r="G1174" t="s"/>
      <c r="H1174" t="s"/>
      <c r="I1174" t="s"/>
      <c r="J1174" t="n">
        <v>0</v>
      </c>
      <c r="K1174" t="n">
        <v>0</v>
      </c>
      <c r="L1174" t="n">
        <v>1</v>
      </c>
      <c r="M1174" t="n">
        <v>0</v>
      </c>
    </row>
    <row r="1175" spans="1:13">
      <c r="A1175" s="1">
        <f>HYPERLINK("http://www.twitter.com/NathanBLawrence/status/960985475480801280", "960985475480801280")</f>
        <v/>
      </c>
      <c r="B1175" s="2" t="n">
        <v>43137.88618055556</v>
      </c>
      <c r="C1175" t="n">
        <v>0</v>
      </c>
      <c r="D1175" t="n">
        <v>0</v>
      </c>
      <c r="E1175" t="s">
        <v>1186</v>
      </c>
      <c r="F1175" t="s"/>
      <c r="G1175" t="s"/>
      <c r="H1175" t="s"/>
      <c r="I1175" t="s"/>
      <c r="J1175" t="n">
        <v>0</v>
      </c>
      <c r="K1175" t="n">
        <v>0</v>
      </c>
      <c r="L1175" t="n">
        <v>1</v>
      </c>
      <c r="M1175" t="n">
        <v>0</v>
      </c>
    </row>
    <row r="1176" spans="1:13">
      <c r="A1176" s="1">
        <f>HYPERLINK("http://www.twitter.com/NathanBLawrence/status/960984682388127747", "960984682388127747")</f>
        <v/>
      </c>
      <c r="B1176" s="2" t="n">
        <v>43137.88399305556</v>
      </c>
      <c r="C1176" t="n">
        <v>0</v>
      </c>
      <c r="D1176" t="n">
        <v>0</v>
      </c>
      <c r="E1176" t="s">
        <v>1187</v>
      </c>
      <c r="F1176" t="s"/>
      <c r="G1176" t="s"/>
      <c r="H1176" t="s"/>
      <c r="I1176" t="s"/>
      <c r="J1176" t="n">
        <v>0.4549</v>
      </c>
      <c r="K1176" t="n">
        <v>0</v>
      </c>
      <c r="L1176" t="n">
        <v>0.825</v>
      </c>
      <c r="M1176" t="n">
        <v>0.175</v>
      </c>
    </row>
    <row r="1177" spans="1:13">
      <c r="A1177" s="1">
        <f>HYPERLINK("http://www.twitter.com/NathanBLawrence/status/960984254393044993", "960984254393044993")</f>
        <v/>
      </c>
      <c r="B1177" s="2" t="n">
        <v>43137.8828125</v>
      </c>
      <c r="C1177" t="n">
        <v>0</v>
      </c>
      <c r="D1177" t="n">
        <v>0</v>
      </c>
      <c r="E1177" t="s">
        <v>1188</v>
      </c>
      <c r="F1177" t="s"/>
      <c r="G1177" t="s"/>
      <c r="H1177" t="s"/>
      <c r="I1177" t="s"/>
      <c r="J1177" t="n">
        <v>0</v>
      </c>
      <c r="K1177" t="n">
        <v>0</v>
      </c>
      <c r="L1177" t="n">
        <v>1</v>
      </c>
      <c r="M1177" t="n">
        <v>0</v>
      </c>
    </row>
    <row r="1178" spans="1:13">
      <c r="A1178" s="1">
        <f>HYPERLINK("http://www.twitter.com/NathanBLawrence/status/960983146622869504", "960983146622869504")</f>
        <v/>
      </c>
      <c r="B1178" s="2" t="n">
        <v>43137.87975694444</v>
      </c>
      <c r="C1178" t="n">
        <v>1</v>
      </c>
      <c r="D1178" t="n">
        <v>0</v>
      </c>
      <c r="E1178" t="s">
        <v>1189</v>
      </c>
      <c r="F1178" t="s"/>
      <c r="G1178" t="s"/>
      <c r="H1178" t="s"/>
      <c r="I1178" t="s"/>
      <c r="J1178" t="n">
        <v>0</v>
      </c>
      <c r="K1178" t="n">
        <v>0</v>
      </c>
      <c r="L1178" t="n">
        <v>1</v>
      </c>
      <c r="M1178" t="n">
        <v>0</v>
      </c>
    </row>
    <row r="1179" spans="1:13">
      <c r="A1179" s="1">
        <f>HYPERLINK("http://www.twitter.com/NathanBLawrence/status/960964832131510272", "960964832131510272")</f>
        <v/>
      </c>
      <c r="B1179" s="2" t="n">
        <v>43137.82921296296</v>
      </c>
      <c r="C1179" t="n">
        <v>1</v>
      </c>
      <c r="D1179" t="n">
        <v>0</v>
      </c>
      <c r="E1179" t="s">
        <v>1190</v>
      </c>
      <c r="F1179" t="s"/>
      <c r="G1179" t="s"/>
      <c r="H1179" t="s"/>
      <c r="I1179" t="s"/>
      <c r="J1179" t="n">
        <v>0</v>
      </c>
      <c r="K1179" t="n">
        <v>0</v>
      </c>
      <c r="L1179" t="n">
        <v>1</v>
      </c>
      <c r="M1179" t="n">
        <v>0</v>
      </c>
    </row>
    <row r="1180" spans="1:13">
      <c r="A1180" s="1">
        <f>HYPERLINK("http://www.twitter.com/NathanBLawrence/status/960910350773256192", "960910350773256192")</f>
        <v/>
      </c>
      <c r="B1180" s="2" t="n">
        <v>43137.67887731481</v>
      </c>
      <c r="C1180" t="n">
        <v>0</v>
      </c>
      <c r="D1180" t="n">
        <v>20</v>
      </c>
      <c r="E1180" t="s">
        <v>1191</v>
      </c>
      <c r="F1180" t="s"/>
      <c r="G1180" t="s"/>
      <c r="H1180" t="s"/>
      <c r="I1180" t="s"/>
      <c r="J1180" t="n">
        <v>0.5209</v>
      </c>
      <c r="K1180" t="n">
        <v>0</v>
      </c>
      <c r="L1180" t="n">
        <v>0.867</v>
      </c>
      <c r="M1180" t="n">
        <v>0.133</v>
      </c>
    </row>
    <row r="1181" spans="1:13">
      <c r="A1181" s="1">
        <f>HYPERLINK("http://www.twitter.com/NathanBLawrence/status/960897998938148866", "960897998938148866")</f>
        <v/>
      </c>
      <c r="B1181" s="2" t="n">
        <v>43137.64479166667</v>
      </c>
      <c r="C1181" t="n">
        <v>0</v>
      </c>
      <c r="D1181" t="n">
        <v>0</v>
      </c>
      <c r="E1181" t="s">
        <v>1192</v>
      </c>
      <c r="F1181" t="s"/>
      <c r="G1181" t="s"/>
      <c r="H1181" t="s"/>
      <c r="I1181" t="s"/>
      <c r="J1181" t="n">
        <v>0</v>
      </c>
      <c r="K1181" t="n">
        <v>0</v>
      </c>
      <c r="L1181" t="n">
        <v>1</v>
      </c>
      <c r="M1181" t="n">
        <v>0</v>
      </c>
    </row>
    <row r="1182" spans="1:13">
      <c r="A1182" s="1">
        <f>HYPERLINK("http://www.twitter.com/NathanBLawrence/status/960877865037434880", "960877865037434880")</f>
        <v/>
      </c>
      <c r="B1182" s="2" t="n">
        <v>43137.58922453703</v>
      </c>
      <c r="C1182" t="n">
        <v>0</v>
      </c>
      <c r="D1182" t="n">
        <v>0</v>
      </c>
      <c r="E1182" t="s">
        <v>1193</v>
      </c>
      <c r="F1182" t="s"/>
      <c r="G1182" t="s"/>
      <c r="H1182" t="s"/>
      <c r="I1182" t="s"/>
      <c r="J1182" t="n">
        <v>0</v>
      </c>
      <c r="K1182" t="n">
        <v>0</v>
      </c>
      <c r="L1182" t="n">
        <v>1</v>
      </c>
      <c r="M1182" t="n">
        <v>0</v>
      </c>
    </row>
    <row r="1183" spans="1:13">
      <c r="A1183" s="1">
        <f>HYPERLINK("http://www.twitter.com/NathanBLawrence/status/960875480651063296", "960875480651063296")</f>
        <v/>
      </c>
      <c r="B1183" s="2" t="n">
        <v>43137.58265046297</v>
      </c>
      <c r="C1183" t="n">
        <v>0</v>
      </c>
      <c r="D1183" t="n">
        <v>69</v>
      </c>
      <c r="E1183" t="s">
        <v>1194</v>
      </c>
      <c r="F1183">
        <f>HYPERLINK("https://video.twimg.com/ext_tw_video/960842751712681984/pu/vid/1280x720/PZze4rxYOBQT569V.mp4", "https://video.twimg.com/ext_tw_video/960842751712681984/pu/vid/1280x720/PZze4rxYOBQT569V.mp4")</f>
        <v/>
      </c>
      <c r="G1183" t="s"/>
      <c r="H1183" t="s"/>
      <c r="I1183" t="s"/>
      <c r="J1183" t="n">
        <v>0.7482</v>
      </c>
      <c r="K1183" t="n">
        <v>0.114</v>
      </c>
      <c r="L1183" t="n">
        <v>0.548</v>
      </c>
      <c r="M1183" t="n">
        <v>0.338</v>
      </c>
    </row>
    <row r="1184" spans="1:13">
      <c r="A1184" s="1">
        <f>HYPERLINK("http://www.twitter.com/NathanBLawrence/status/960717207578824705", "960717207578824705")</f>
        <v/>
      </c>
      <c r="B1184" s="2" t="n">
        <v>43137.14590277777</v>
      </c>
      <c r="C1184" t="n">
        <v>0</v>
      </c>
      <c r="D1184" t="n">
        <v>5199</v>
      </c>
      <c r="E1184" t="s">
        <v>1195</v>
      </c>
      <c r="F1184">
        <f>HYPERLINK("http://pbs.twimg.com/media/DVPI6hNWAAAnRfN.jpg", "http://pbs.twimg.com/media/DVPI6hNWAAAnRfN.jpg")</f>
        <v/>
      </c>
      <c r="G1184" t="s"/>
      <c r="H1184" t="s"/>
      <c r="I1184" t="s"/>
      <c r="J1184" t="n">
        <v>0.0828</v>
      </c>
      <c r="K1184" t="n">
        <v>0.091</v>
      </c>
      <c r="L1184" t="n">
        <v>0.805</v>
      </c>
      <c r="M1184" t="n">
        <v>0.104</v>
      </c>
    </row>
    <row r="1185" spans="1:13">
      <c r="A1185" s="1">
        <f>HYPERLINK("http://www.twitter.com/NathanBLawrence/status/960716458761293827", "960716458761293827")</f>
        <v/>
      </c>
      <c r="B1185" s="2" t="n">
        <v>43137.14383101852</v>
      </c>
      <c r="C1185" t="n">
        <v>0</v>
      </c>
      <c r="D1185" t="n">
        <v>0</v>
      </c>
      <c r="E1185" t="s">
        <v>1196</v>
      </c>
      <c r="F1185" t="s"/>
      <c r="G1185" t="s"/>
      <c r="H1185" t="s"/>
      <c r="I1185" t="s"/>
      <c r="J1185" t="n">
        <v>0.3182</v>
      </c>
      <c r="K1185" t="n">
        <v>0</v>
      </c>
      <c r="L1185" t="n">
        <v>0.723</v>
      </c>
      <c r="M1185" t="n">
        <v>0.277</v>
      </c>
    </row>
    <row r="1186" spans="1:13">
      <c r="A1186" s="1">
        <f>HYPERLINK("http://www.twitter.com/NathanBLawrence/status/960712899906981888", "960712899906981888")</f>
        <v/>
      </c>
      <c r="B1186" s="2" t="n">
        <v>43137.1340162037</v>
      </c>
      <c r="C1186" t="n">
        <v>0</v>
      </c>
      <c r="D1186" t="n">
        <v>0</v>
      </c>
      <c r="E1186" t="s">
        <v>1197</v>
      </c>
      <c r="F1186" t="s"/>
      <c r="G1186" t="s"/>
      <c r="H1186" t="s"/>
      <c r="I1186" t="s"/>
      <c r="J1186" t="n">
        <v>0</v>
      </c>
      <c r="K1186" t="n">
        <v>0</v>
      </c>
      <c r="L1186" t="n">
        <v>1</v>
      </c>
      <c r="M1186" t="n">
        <v>0</v>
      </c>
    </row>
    <row r="1187" spans="1:13">
      <c r="A1187" s="1">
        <f>HYPERLINK("http://www.twitter.com/NathanBLawrence/status/960704094079016960", "960704094079016960")</f>
        <v/>
      </c>
      <c r="B1187" s="2" t="n">
        <v>43137.10971064815</v>
      </c>
      <c r="C1187" t="n">
        <v>0</v>
      </c>
      <c r="D1187" t="n">
        <v>41</v>
      </c>
      <c r="E1187" t="s">
        <v>1198</v>
      </c>
      <c r="F1187" t="s"/>
      <c r="G1187" t="s"/>
      <c r="H1187" t="s"/>
      <c r="I1187" t="s"/>
      <c r="J1187" t="n">
        <v>0</v>
      </c>
      <c r="K1187" t="n">
        <v>0</v>
      </c>
      <c r="L1187" t="n">
        <v>1</v>
      </c>
      <c r="M1187" t="n">
        <v>0</v>
      </c>
    </row>
    <row r="1188" spans="1:13">
      <c r="A1188" s="1">
        <f>HYPERLINK("http://www.twitter.com/NathanBLawrence/status/960700846941097984", "960700846941097984")</f>
        <v/>
      </c>
      <c r="B1188" s="2" t="n">
        <v>43137.10075231481</v>
      </c>
      <c r="C1188" t="n">
        <v>1</v>
      </c>
      <c r="D1188" t="n">
        <v>0</v>
      </c>
      <c r="E1188" t="s">
        <v>1199</v>
      </c>
      <c r="F1188" t="s"/>
      <c r="G1188" t="s"/>
      <c r="H1188" t="s"/>
      <c r="I1188" t="s"/>
      <c r="J1188" t="n">
        <v>0</v>
      </c>
      <c r="K1188" t="n">
        <v>0</v>
      </c>
      <c r="L1188" t="n">
        <v>1</v>
      </c>
      <c r="M1188" t="n">
        <v>0</v>
      </c>
    </row>
    <row r="1189" spans="1:13">
      <c r="A1189" s="1">
        <f>HYPERLINK("http://www.twitter.com/NathanBLawrence/status/960700509719015424", "960700509719015424")</f>
        <v/>
      </c>
      <c r="B1189" s="2" t="n">
        <v>43137.09982638889</v>
      </c>
      <c r="C1189" t="n">
        <v>1</v>
      </c>
      <c r="D1189" t="n">
        <v>0</v>
      </c>
      <c r="E1189" t="s">
        <v>1200</v>
      </c>
      <c r="F1189" t="s"/>
      <c r="G1189" t="s"/>
      <c r="H1189" t="s"/>
      <c r="I1189" t="s"/>
      <c r="J1189" t="n">
        <v>0.4939</v>
      </c>
      <c r="K1189" t="n">
        <v>0</v>
      </c>
      <c r="L1189" t="n">
        <v>0.775</v>
      </c>
      <c r="M1189" t="n">
        <v>0.225</v>
      </c>
    </row>
    <row r="1190" spans="1:13">
      <c r="A1190" s="1">
        <f>HYPERLINK("http://www.twitter.com/NathanBLawrence/status/960698025340559360", "960698025340559360")</f>
        <v/>
      </c>
      <c r="B1190" s="2" t="n">
        <v>43137.09296296296</v>
      </c>
      <c r="C1190" t="n">
        <v>0</v>
      </c>
      <c r="D1190" t="n">
        <v>0</v>
      </c>
      <c r="E1190" t="s">
        <v>1201</v>
      </c>
      <c r="F1190" t="s"/>
      <c r="G1190" t="s"/>
      <c r="H1190" t="s"/>
      <c r="I1190" t="s"/>
      <c r="J1190" t="n">
        <v>0</v>
      </c>
      <c r="K1190" t="n">
        <v>0</v>
      </c>
      <c r="L1190" t="n">
        <v>1</v>
      </c>
      <c r="M1190" t="n">
        <v>0</v>
      </c>
    </row>
    <row r="1191" spans="1:13">
      <c r="A1191" s="1">
        <f>HYPERLINK("http://www.twitter.com/NathanBLawrence/status/960677897378979840", "960677897378979840")</f>
        <v/>
      </c>
      <c r="B1191" s="2" t="n">
        <v>43137.03741898148</v>
      </c>
      <c r="C1191" t="n">
        <v>0</v>
      </c>
      <c r="D1191" t="n">
        <v>457</v>
      </c>
      <c r="E1191" t="s">
        <v>1202</v>
      </c>
      <c r="F1191">
        <f>HYPERLINK("http://pbs.twimg.com/media/DVTwuq_XUAAZLa6.jpg", "http://pbs.twimg.com/media/DVTwuq_XUAAZLa6.jpg")</f>
        <v/>
      </c>
      <c r="G1191" t="s"/>
      <c r="H1191" t="s"/>
      <c r="I1191" t="s"/>
      <c r="J1191" t="n">
        <v>0</v>
      </c>
      <c r="K1191" t="n">
        <v>0</v>
      </c>
      <c r="L1191" t="n">
        <v>1</v>
      </c>
      <c r="M1191" t="n">
        <v>0</v>
      </c>
    </row>
    <row r="1192" spans="1:13">
      <c r="A1192" s="1">
        <f>HYPERLINK("http://www.twitter.com/NathanBLawrence/status/960667706583379974", "960667706583379974")</f>
        <v/>
      </c>
      <c r="B1192" s="2" t="n">
        <v>43137.00930555556</v>
      </c>
      <c r="C1192" t="n">
        <v>0</v>
      </c>
      <c r="D1192" t="n">
        <v>16</v>
      </c>
      <c r="E1192" t="s">
        <v>1203</v>
      </c>
      <c r="F1192" t="s"/>
      <c r="G1192" t="s"/>
      <c r="H1192" t="s"/>
      <c r="I1192" t="s"/>
      <c r="J1192" t="n">
        <v>-0.6249</v>
      </c>
      <c r="K1192" t="n">
        <v>0.157</v>
      </c>
      <c r="L1192" t="n">
        <v>0.843</v>
      </c>
      <c r="M1192" t="n">
        <v>0</v>
      </c>
    </row>
    <row r="1193" spans="1:13">
      <c r="A1193" s="1">
        <f>HYPERLINK("http://www.twitter.com/NathanBLawrence/status/960660345542074368", "960660345542074368")</f>
        <v/>
      </c>
      <c r="B1193" s="2" t="n">
        <v>43136.98899305556</v>
      </c>
      <c r="C1193" t="n">
        <v>0</v>
      </c>
      <c r="D1193" t="n">
        <v>0</v>
      </c>
      <c r="E1193" t="s">
        <v>1204</v>
      </c>
      <c r="F1193" t="s"/>
      <c r="G1193" t="s"/>
      <c r="H1193" t="s"/>
      <c r="I1193" t="s"/>
      <c r="J1193" t="n">
        <v>0</v>
      </c>
      <c r="K1193" t="n">
        <v>0</v>
      </c>
      <c r="L1193" t="n">
        <v>1</v>
      </c>
      <c r="M1193" t="n">
        <v>0</v>
      </c>
    </row>
    <row r="1194" spans="1:13">
      <c r="A1194" s="1">
        <f>HYPERLINK("http://www.twitter.com/NathanBLawrence/status/960616187104243712", "960616187104243712")</f>
        <v/>
      </c>
      <c r="B1194" s="2" t="n">
        <v>43136.8671412037</v>
      </c>
      <c r="C1194" t="n">
        <v>0</v>
      </c>
      <c r="D1194" t="n">
        <v>0</v>
      </c>
      <c r="E1194" t="s">
        <v>1205</v>
      </c>
      <c r="F1194" t="s"/>
      <c r="G1194" t="s"/>
      <c r="H1194" t="s"/>
      <c r="I1194" t="s"/>
      <c r="J1194" t="n">
        <v>-0.4019</v>
      </c>
      <c r="K1194" t="n">
        <v>0.231</v>
      </c>
      <c r="L1194" t="n">
        <v>0.769</v>
      </c>
      <c r="M1194" t="n">
        <v>0</v>
      </c>
    </row>
    <row r="1195" spans="1:13">
      <c r="A1195" s="1">
        <f>HYPERLINK("http://www.twitter.com/NathanBLawrence/status/960606960692449281", "960606960692449281")</f>
        <v/>
      </c>
      <c r="B1195" s="2" t="n">
        <v>43136.84167824074</v>
      </c>
      <c r="C1195" t="n">
        <v>9</v>
      </c>
      <c r="D1195" t="n">
        <v>0</v>
      </c>
      <c r="E1195" t="s">
        <v>1206</v>
      </c>
      <c r="F1195" t="s"/>
      <c r="G1195" t="s"/>
      <c r="H1195" t="s"/>
      <c r="I1195" t="s"/>
      <c r="J1195" t="n">
        <v>0</v>
      </c>
      <c r="K1195" t="n">
        <v>0</v>
      </c>
      <c r="L1195" t="n">
        <v>1</v>
      </c>
      <c r="M1195" t="n">
        <v>0</v>
      </c>
    </row>
    <row r="1196" spans="1:13">
      <c r="A1196" s="1">
        <f>HYPERLINK("http://www.twitter.com/NathanBLawrence/status/960605791123329026", "960605791123329026")</f>
        <v/>
      </c>
      <c r="B1196" s="2" t="n">
        <v>43136.83844907407</v>
      </c>
      <c r="C1196" t="n">
        <v>0</v>
      </c>
      <c r="D1196" t="n">
        <v>0</v>
      </c>
      <c r="E1196" t="s">
        <v>1207</v>
      </c>
      <c r="F1196" t="s"/>
      <c r="G1196" t="s"/>
      <c r="H1196" t="s"/>
      <c r="I1196" t="s"/>
      <c r="J1196" t="n">
        <v>-0.4019</v>
      </c>
      <c r="K1196" t="n">
        <v>0.197</v>
      </c>
      <c r="L1196" t="n">
        <v>0.803</v>
      </c>
      <c r="M1196" t="n">
        <v>0</v>
      </c>
    </row>
    <row r="1197" spans="1:13">
      <c r="A1197" s="1">
        <f>HYPERLINK("http://www.twitter.com/NathanBLawrence/status/960603418724364290", "960603418724364290")</f>
        <v/>
      </c>
      <c r="B1197" s="2" t="n">
        <v>43136.83189814815</v>
      </c>
      <c r="C1197" t="n">
        <v>1</v>
      </c>
      <c r="D1197" t="n">
        <v>0</v>
      </c>
      <c r="E1197" t="s">
        <v>1208</v>
      </c>
      <c r="F1197" t="s"/>
      <c r="G1197" t="s"/>
      <c r="H1197" t="s"/>
      <c r="I1197" t="s"/>
      <c r="J1197" t="n">
        <v>0</v>
      </c>
      <c r="K1197" t="n">
        <v>0</v>
      </c>
      <c r="L1197" t="n">
        <v>1</v>
      </c>
      <c r="M1197" t="n">
        <v>0</v>
      </c>
    </row>
    <row r="1198" spans="1:13">
      <c r="A1198" s="1">
        <f>HYPERLINK("http://www.twitter.com/NathanBLawrence/status/960602783228579842", "960602783228579842")</f>
        <v/>
      </c>
      <c r="B1198" s="2" t="n">
        <v>43136.83015046296</v>
      </c>
      <c r="C1198" t="n">
        <v>0</v>
      </c>
      <c r="D1198" t="n">
        <v>10</v>
      </c>
      <c r="E1198" t="s">
        <v>1209</v>
      </c>
      <c r="F1198" t="s"/>
      <c r="G1198" t="s"/>
      <c r="H1198" t="s"/>
      <c r="I1198" t="s"/>
      <c r="J1198" t="n">
        <v>0</v>
      </c>
      <c r="K1198" t="n">
        <v>0</v>
      </c>
      <c r="L1198" t="n">
        <v>1</v>
      </c>
      <c r="M1198" t="n">
        <v>0</v>
      </c>
    </row>
    <row r="1199" spans="1:13">
      <c r="A1199" s="1">
        <f>HYPERLINK("http://www.twitter.com/NathanBLawrence/status/960574983213928448", "960574983213928448")</f>
        <v/>
      </c>
      <c r="B1199" s="2" t="n">
        <v>43136.7534375</v>
      </c>
      <c r="C1199" t="n">
        <v>0</v>
      </c>
      <c r="D1199" t="n">
        <v>3</v>
      </c>
      <c r="E1199" t="s">
        <v>1210</v>
      </c>
      <c r="F1199" t="s"/>
      <c r="G1199" t="s"/>
      <c r="H1199" t="s"/>
      <c r="I1199" t="s"/>
      <c r="J1199" t="n">
        <v>0</v>
      </c>
      <c r="K1199" t="n">
        <v>0</v>
      </c>
      <c r="L1199" t="n">
        <v>1</v>
      </c>
      <c r="M1199" t="n">
        <v>0</v>
      </c>
    </row>
    <row r="1200" spans="1:13">
      <c r="A1200" s="1">
        <f>HYPERLINK("http://www.twitter.com/NathanBLawrence/status/960573798222303234", "960573798222303234")</f>
        <v/>
      </c>
      <c r="B1200" s="2" t="n">
        <v>43136.75016203704</v>
      </c>
      <c r="C1200" t="n">
        <v>0</v>
      </c>
      <c r="D1200" t="n">
        <v>543</v>
      </c>
      <c r="E1200" t="s">
        <v>1211</v>
      </c>
      <c r="F1200">
        <f>HYPERLINK("http://pbs.twimg.com/media/DVSbaOhVoAEy8ls.jpg", "http://pbs.twimg.com/media/DVSbaOhVoAEy8ls.jpg")</f>
        <v/>
      </c>
      <c r="G1200" t="s"/>
      <c r="H1200" t="s"/>
      <c r="I1200" t="s"/>
      <c r="J1200" t="n">
        <v>0.4184</v>
      </c>
      <c r="K1200" t="n">
        <v>0</v>
      </c>
      <c r="L1200" t="n">
        <v>0.834</v>
      </c>
      <c r="M1200" t="n">
        <v>0.166</v>
      </c>
    </row>
    <row r="1201" spans="1:13">
      <c r="A1201" s="1">
        <f>HYPERLINK("http://www.twitter.com/NathanBLawrence/status/960549224923443201", "960549224923443201")</f>
        <v/>
      </c>
      <c r="B1201" s="2" t="n">
        <v>43136.68236111111</v>
      </c>
      <c r="C1201" t="n">
        <v>0</v>
      </c>
      <c r="D1201" t="n">
        <v>3292</v>
      </c>
      <c r="E1201" t="s">
        <v>1212</v>
      </c>
      <c r="F1201" t="s"/>
      <c r="G1201" t="s"/>
      <c r="H1201" t="s"/>
      <c r="I1201" t="s"/>
      <c r="J1201" t="n">
        <v>0</v>
      </c>
      <c r="K1201" t="n">
        <v>0</v>
      </c>
      <c r="L1201" t="n">
        <v>1</v>
      </c>
      <c r="M1201" t="n">
        <v>0</v>
      </c>
    </row>
    <row r="1202" spans="1:13">
      <c r="A1202" s="1">
        <f>HYPERLINK("http://www.twitter.com/NathanBLawrence/status/960523210793127937", "960523210793127937")</f>
        <v/>
      </c>
      <c r="B1202" s="2" t="n">
        <v>43136.61056712963</v>
      </c>
      <c r="C1202" t="n">
        <v>1</v>
      </c>
      <c r="D1202" t="n">
        <v>0</v>
      </c>
      <c r="E1202" t="s">
        <v>1213</v>
      </c>
      <c r="F1202" t="s"/>
      <c r="G1202" t="s"/>
      <c r="H1202" t="s"/>
      <c r="I1202" t="s"/>
      <c r="J1202" t="n">
        <v>-0.8555</v>
      </c>
      <c r="K1202" t="n">
        <v>0.675</v>
      </c>
      <c r="L1202" t="n">
        <v>0.325</v>
      </c>
      <c r="M1202" t="n">
        <v>0</v>
      </c>
    </row>
    <row r="1203" spans="1:13">
      <c r="A1203" s="1">
        <f>HYPERLINK("http://www.twitter.com/NathanBLawrence/status/960521168624209921", "960521168624209921")</f>
        <v/>
      </c>
      <c r="B1203" s="2" t="n">
        <v>43136.60493055556</v>
      </c>
      <c r="C1203" t="n">
        <v>0</v>
      </c>
      <c r="D1203" t="n">
        <v>41794</v>
      </c>
      <c r="E1203" t="s">
        <v>1214</v>
      </c>
      <c r="F1203" t="s"/>
      <c r="G1203" t="s"/>
      <c r="H1203" t="s"/>
      <c r="I1203" t="s"/>
      <c r="J1203" t="n">
        <v>-0.6908</v>
      </c>
      <c r="K1203" t="n">
        <v>0.213</v>
      </c>
      <c r="L1203" t="n">
        <v>0.787</v>
      </c>
      <c r="M1203" t="n">
        <v>0</v>
      </c>
    </row>
    <row r="1204" spans="1:13">
      <c r="A1204" s="1">
        <f>HYPERLINK("http://www.twitter.com/NathanBLawrence/status/960518799916175360", "960518799916175360")</f>
        <v/>
      </c>
      <c r="B1204" s="2" t="n">
        <v>43136.59840277778</v>
      </c>
      <c r="C1204" t="n">
        <v>0</v>
      </c>
      <c r="D1204" t="n">
        <v>0</v>
      </c>
      <c r="E1204" t="s">
        <v>1215</v>
      </c>
      <c r="F1204" t="s"/>
      <c r="G1204" t="s"/>
      <c r="H1204" t="s"/>
      <c r="I1204" t="s"/>
      <c r="J1204" t="n">
        <v>0</v>
      </c>
      <c r="K1204" t="n">
        <v>0</v>
      </c>
      <c r="L1204" t="n">
        <v>1</v>
      </c>
      <c r="M1204" t="n">
        <v>0</v>
      </c>
    </row>
    <row r="1205" spans="1:13">
      <c r="A1205" s="1">
        <f>HYPERLINK("http://www.twitter.com/NathanBLawrence/status/960510921155207168", "960510921155207168")</f>
        <v/>
      </c>
      <c r="B1205" s="2" t="n">
        <v>43136.57665509259</v>
      </c>
      <c r="C1205" t="n">
        <v>0</v>
      </c>
      <c r="D1205" t="n">
        <v>0</v>
      </c>
      <c r="E1205" t="s">
        <v>1216</v>
      </c>
      <c r="F1205" t="s"/>
      <c r="G1205" t="s"/>
      <c r="H1205" t="s"/>
      <c r="I1205" t="s"/>
      <c r="J1205" t="n">
        <v>0</v>
      </c>
      <c r="K1205" t="n">
        <v>0</v>
      </c>
      <c r="L1205" t="n">
        <v>1</v>
      </c>
      <c r="M1205" t="n">
        <v>0</v>
      </c>
    </row>
    <row r="1206" spans="1:13">
      <c r="A1206" s="1">
        <f>HYPERLINK("http://www.twitter.com/NathanBLawrence/status/960510824333893633", "960510824333893633")</f>
        <v/>
      </c>
      <c r="B1206" s="2" t="n">
        <v>43136.57638888889</v>
      </c>
      <c r="C1206" t="n">
        <v>0</v>
      </c>
      <c r="D1206" t="n">
        <v>0</v>
      </c>
      <c r="E1206" t="s">
        <v>1217</v>
      </c>
      <c r="F1206" t="s"/>
      <c r="G1206" t="s"/>
      <c r="H1206" t="s"/>
      <c r="I1206" t="s"/>
      <c r="J1206" t="n">
        <v>0.4329</v>
      </c>
      <c r="K1206" t="n">
        <v>0</v>
      </c>
      <c r="L1206" t="n">
        <v>0.82</v>
      </c>
      <c r="M1206" t="n">
        <v>0.18</v>
      </c>
    </row>
    <row r="1207" spans="1:13">
      <c r="A1207" s="1">
        <f>HYPERLINK("http://www.twitter.com/NathanBLawrence/status/960476115113512960", "960476115113512960")</f>
        <v/>
      </c>
      <c r="B1207" s="2" t="n">
        <v>43136.48061342593</v>
      </c>
      <c r="C1207" t="n">
        <v>0</v>
      </c>
      <c r="D1207" t="n">
        <v>0</v>
      </c>
      <c r="E1207" t="s">
        <v>1218</v>
      </c>
      <c r="F1207" t="s"/>
      <c r="G1207" t="s"/>
      <c r="H1207" t="s"/>
      <c r="I1207" t="s"/>
      <c r="J1207" t="n">
        <v>0.3182</v>
      </c>
      <c r="K1207" t="n">
        <v>0</v>
      </c>
      <c r="L1207" t="n">
        <v>0.753</v>
      </c>
      <c r="M1207" t="n">
        <v>0.247</v>
      </c>
    </row>
    <row r="1208" spans="1:13">
      <c r="A1208" s="1">
        <f>HYPERLINK("http://www.twitter.com/NathanBLawrence/status/960229910294953984", "960229910294953984")</f>
        <v/>
      </c>
      <c r="B1208" s="2" t="n">
        <v>43135.80121527778</v>
      </c>
      <c r="C1208" t="n">
        <v>0</v>
      </c>
      <c r="D1208" t="n">
        <v>2929</v>
      </c>
      <c r="E1208" t="s">
        <v>1219</v>
      </c>
      <c r="F1208">
        <f>HYPERLINK("http://pbs.twimg.com/media/DVNraFxV4AA0GUo.jpg", "http://pbs.twimg.com/media/DVNraFxV4AA0GUo.jpg")</f>
        <v/>
      </c>
      <c r="G1208" t="s"/>
      <c r="H1208" t="s"/>
      <c r="I1208" t="s"/>
      <c r="J1208" t="n">
        <v>0.3182</v>
      </c>
      <c r="K1208" t="n">
        <v>0</v>
      </c>
      <c r="L1208" t="n">
        <v>0.892</v>
      </c>
      <c r="M1208" t="n">
        <v>0.108</v>
      </c>
    </row>
    <row r="1209" spans="1:13">
      <c r="A1209" s="1">
        <f>HYPERLINK("http://www.twitter.com/NathanBLawrence/status/960229154431164418", "960229154431164418")</f>
        <v/>
      </c>
      <c r="B1209" s="2" t="n">
        <v>43135.79913194444</v>
      </c>
      <c r="C1209" t="n">
        <v>1</v>
      </c>
      <c r="D1209" t="n">
        <v>0</v>
      </c>
      <c r="E1209" t="s">
        <v>1220</v>
      </c>
      <c r="F1209" t="s"/>
      <c r="G1209" t="s"/>
      <c r="H1209" t="s"/>
      <c r="I1209" t="s"/>
      <c r="J1209" t="n">
        <v>0</v>
      </c>
      <c r="K1209" t="n">
        <v>0</v>
      </c>
      <c r="L1209" t="n">
        <v>1</v>
      </c>
      <c r="M1209" t="n">
        <v>0</v>
      </c>
    </row>
    <row r="1210" spans="1:13">
      <c r="A1210" s="1">
        <f>HYPERLINK("http://www.twitter.com/NathanBLawrence/status/960228987053240321", "960228987053240321")</f>
        <v/>
      </c>
      <c r="B1210" s="2" t="n">
        <v>43135.79866898148</v>
      </c>
      <c r="C1210" t="n">
        <v>0</v>
      </c>
      <c r="D1210" t="n">
        <v>0</v>
      </c>
      <c r="E1210" t="s">
        <v>1221</v>
      </c>
      <c r="F1210" t="s"/>
      <c r="G1210" t="s"/>
      <c r="H1210" t="s"/>
      <c r="I1210" t="s"/>
      <c r="J1210" t="n">
        <v>0</v>
      </c>
      <c r="K1210" t="n">
        <v>0</v>
      </c>
      <c r="L1210" t="n">
        <v>1</v>
      </c>
      <c r="M1210" t="n">
        <v>0</v>
      </c>
    </row>
    <row r="1211" spans="1:13">
      <c r="A1211" s="1">
        <f>HYPERLINK("http://www.twitter.com/NathanBLawrence/status/960225210497748992", "960225210497748992")</f>
        <v/>
      </c>
      <c r="B1211" s="2" t="n">
        <v>43135.78824074074</v>
      </c>
      <c r="C1211" t="n">
        <v>0</v>
      </c>
      <c r="D1211" t="n">
        <v>0</v>
      </c>
      <c r="E1211" t="s">
        <v>1222</v>
      </c>
      <c r="F1211" t="s"/>
      <c r="G1211" t="s"/>
      <c r="H1211" t="s"/>
      <c r="I1211" t="s"/>
      <c r="J1211" t="n">
        <v>0</v>
      </c>
      <c r="K1211" t="n">
        <v>0</v>
      </c>
      <c r="L1211" t="n">
        <v>1</v>
      </c>
      <c r="M1211" t="n">
        <v>0</v>
      </c>
    </row>
    <row r="1212" spans="1:13">
      <c r="A1212" s="1">
        <f>HYPERLINK("http://www.twitter.com/NathanBLawrence/status/960173709813264385", "960173709813264385")</f>
        <v/>
      </c>
      <c r="B1212" s="2" t="n">
        <v>43135.64613425926</v>
      </c>
      <c r="C1212" t="n">
        <v>0</v>
      </c>
      <c r="D1212" t="n">
        <v>0</v>
      </c>
      <c r="E1212" t="s">
        <v>1223</v>
      </c>
      <c r="F1212">
        <f>HYPERLINK("http://pbs.twimg.com/media/DVM45PBVMAAOsC9.jpg", "http://pbs.twimg.com/media/DVM45PBVMAAOsC9.jpg")</f>
        <v/>
      </c>
      <c r="G1212" t="s"/>
      <c r="H1212" t="s"/>
      <c r="I1212" t="s"/>
      <c r="J1212" t="n">
        <v>0.7003</v>
      </c>
      <c r="K1212" t="n">
        <v>0.06</v>
      </c>
      <c r="L1212" t="n">
        <v>0.752</v>
      </c>
      <c r="M1212" t="n">
        <v>0.188</v>
      </c>
    </row>
    <row r="1213" spans="1:13">
      <c r="A1213" s="1">
        <f>HYPERLINK("http://www.twitter.com/NathanBLawrence/status/959974403546198017", "959974403546198017")</f>
        <v/>
      </c>
      <c r="B1213" s="2" t="n">
        <v>43135.09614583333</v>
      </c>
      <c r="C1213" t="n">
        <v>0</v>
      </c>
      <c r="D1213" t="n">
        <v>0</v>
      </c>
      <c r="E1213" t="s">
        <v>1224</v>
      </c>
      <c r="F1213" t="s"/>
      <c r="G1213" t="s"/>
      <c r="H1213" t="s"/>
      <c r="I1213" t="s"/>
      <c r="J1213" t="n">
        <v>-0.1531</v>
      </c>
      <c r="K1213" t="n">
        <v>0.187</v>
      </c>
      <c r="L1213" t="n">
        <v>0.663</v>
      </c>
      <c r="M1213" t="n">
        <v>0.151</v>
      </c>
    </row>
    <row r="1214" spans="1:13">
      <c r="A1214" s="1">
        <f>HYPERLINK("http://www.twitter.com/NathanBLawrence/status/959940971889864705", "959940971889864705")</f>
        <v/>
      </c>
      <c r="B1214" s="2" t="n">
        <v>43135.00390046297</v>
      </c>
      <c r="C1214" t="n">
        <v>1</v>
      </c>
      <c r="D1214" t="n">
        <v>0</v>
      </c>
      <c r="E1214" t="s">
        <v>1225</v>
      </c>
      <c r="F1214" t="s"/>
      <c r="G1214" t="s"/>
      <c r="H1214" t="s"/>
      <c r="I1214" t="s"/>
      <c r="J1214" t="n">
        <v>0</v>
      </c>
      <c r="K1214" t="n">
        <v>0</v>
      </c>
      <c r="L1214" t="n">
        <v>1</v>
      </c>
      <c r="M1214" t="n">
        <v>0</v>
      </c>
    </row>
    <row r="1215" spans="1:13">
      <c r="A1215" s="1">
        <f>HYPERLINK("http://www.twitter.com/NathanBLawrence/status/959937376909971457", "959937376909971457")</f>
        <v/>
      </c>
      <c r="B1215" s="2" t="n">
        <v>43134.99398148148</v>
      </c>
      <c r="C1215" t="n">
        <v>0</v>
      </c>
      <c r="D1215" t="n">
        <v>0</v>
      </c>
      <c r="E1215" t="s">
        <v>1226</v>
      </c>
      <c r="F1215" t="s"/>
      <c r="G1215" t="s"/>
      <c r="H1215" t="s"/>
      <c r="I1215" t="s"/>
      <c r="J1215" t="n">
        <v>0</v>
      </c>
      <c r="K1215" t="n">
        <v>0</v>
      </c>
      <c r="L1215" t="n">
        <v>1</v>
      </c>
      <c r="M1215" t="n">
        <v>0</v>
      </c>
    </row>
    <row r="1216" spans="1:13">
      <c r="A1216" s="1">
        <f>HYPERLINK("http://www.twitter.com/NathanBLawrence/status/959867724338999298", "959867724338999298")</f>
        <v/>
      </c>
      <c r="B1216" s="2" t="n">
        <v>43134.80177083334</v>
      </c>
      <c r="C1216" t="n">
        <v>0</v>
      </c>
      <c r="D1216" t="n">
        <v>18752</v>
      </c>
      <c r="E1216" t="s">
        <v>1227</v>
      </c>
      <c r="F1216" t="s"/>
      <c r="G1216" t="s"/>
      <c r="H1216" t="s"/>
      <c r="I1216" t="s"/>
      <c r="J1216" t="n">
        <v>-0.296</v>
      </c>
      <c r="K1216" t="n">
        <v>0.099</v>
      </c>
      <c r="L1216" t="n">
        <v>0.901</v>
      </c>
      <c r="M1216" t="n">
        <v>0</v>
      </c>
    </row>
    <row r="1217" spans="1:13">
      <c r="A1217" s="1">
        <f>HYPERLINK("http://www.twitter.com/NathanBLawrence/status/959845007405518850", "959845007405518850")</f>
        <v/>
      </c>
      <c r="B1217" s="2" t="n">
        <v>43134.73908564815</v>
      </c>
      <c r="C1217" t="n">
        <v>0</v>
      </c>
      <c r="D1217" t="n">
        <v>0</v>
      </c>
      <c r="E1217" t="s">
        <v>1228</v>
      </c>
      <c r="F1217" t="s"/>
      <c r="G1217" t="s"/>
      <c r="H1217" t="s"/>
      <c r="I1217" t="s"/>
      <c r="J1217" t="n">
        <v>0</v>
      </c>
      <c r="K1217" t="n">
        <v>0</v>
      </c>
      <c r="L1217" t="n">
        <v>1</v>
      </c>
      <c r="M1217" t="n">
        <v>0</v>
      </c>
    </row>
    <row r="1218" spans="1:13">
      <c r="A1218" s="1">
        <f>HYPERLINK("http://www.twitter.com/NathanBLawrence/status/959844810592079874", "959844810592079874")</f>
        <v/>
      </c>
      <c r="B1218" s="2" t="n">
        <v>43134.73854166667</v>
      </c>
      <c r="C1218" t="n">
        <v>0</v>
      </c>
      <c r="D1218" t="n">
        <v>6552</v>
      </c>
      <c r="E1218" t="s">
        <v>1229</v>
      </c>
      <c r="F1218" t="s"/>
      <c r="G1218" t="s"/>
      <c r="H1218" t="s"/>
      <c r="I1218" t="s"/>
      <c r="J1218" t="n">
        <v>0</v>
      </c>
      <c r="K1218" t="n">
        <v>0</v>
      </c>
      <c r="L1218" t="n">
        <v>1</v>
      </c>
      <c r="M1218" t="n">
        <v>0</v>
      </c>
    </row>
    <row r="1219" spans="1:13">
      <c r="A1219" s="1">
        <f>HYPERLINK("http://www.twitter.com/NathanBLawrence/status/959844696351739904", "959844696351739904")</f>
        <v/>
      </c>
      <c r="B1219" s="2" t="n">
        <v>43134.73822916667</v>
      </c>
      <c r="C1219" t="n">
        <v>0</v>
      </c>
      <c r="D1219" t="n">
        <v>0</v>
      </c>
      <c r="E1219" t="s">
        <v>1230</v>
      </c>
      <c r="F1219" t="s"/>
      <c r="G1219" t="s"/>
      <c r="H1219" t="s"/>
      <c r="I1219" t="s"/>
      <c r="J1219" t="n">
        <v>0.3818</v>
      </c>
      <c r="K1219" t="n">
        <v>0</v>
      </c>
      <c r="L1219" t="n">
        <v>0.794</v>
      </c>
      <c r="M1219" t="n">
        <v>0.206</v>
      </c>
    </row>
    <row r="1220" spans="1:13">
      <c r="A1220" s="1">
        <f>HYPERLINK("http://www.twitter.com/NathanBLawrence/status/959844032242479104", "959844032242479104")</f>
        <v/>
      </c>
      <c r="B1220" s="2" t="n">
        <v>43134.73638888889</v>
      </c>
      <c r="C1220" t="n">
        <v>0</v>
      </c>
      <c r="D1220" t="n">
        <v>16234</v>
      </c>
      <c r="E1220" t="s">
        <v>1231</v>
      </c>
      <c r="F1220" t="s"/>
      <c r="G1220" t="s"/>
      <c r="H1220" t="s"/>
      <c r="I1220" t="s"/>
      <c r="J1220" t="n">
        <v>0.0516</v>
      </c>
      <c r="K1220" t="n">
        <v>0.134</v>
      </c>
      <c r="L1220" t="n">
        <v>0.725</v>
      </c>
      <c r="M1220" t="n">
        <v>0.141</v>
      </c>
    </row>
    <row r="1221" spans="1:13">
      <c r="A1221" s="1">
        <f>HYPERLINK("http://www.twitter.com/NathanBLawrence/status/959843498714390529", "959843498714390529")</f>
        <v/>
      </c>
      <c r="B1221" s="2" t="n">
        <v>43134.73491898148</v>
      </c>
      <c r="C1221" t="n">
        <v>0</v>
      </c>
      <c r="D1221" t="n">
        <v>37824</v>
      </c>
      <c r="E1221" t="s">
        <v>1232</v>
      </c>
      <c r="F1221" t="s"/>
      <c r="G1221" t="s"/>
      <c r="H1221" t="s"/>
      <c r="I1221" t="s"/>
      <c r="J1221" t="n">
        <v>-0.204</v>
      </c>
      <c r="K1221" t="n">
        <v>0.164</v>
      </c>
      <c r="L1221" t="n">
        <v>0.734</v>
      </c>
      <c r="M1221" t="n">
        <v>0.101</v>
      </c>
    </row>
    <row r="1222" spans="1:13">
      <c r="A1222" s="1">
        <f>HYPERLINK("http://www.twitter.com/NathanBLawrence/status/959617765828067328", "959617765828067328")</f>
        <v/>
      </c>
      <c r="B1222" s="2" t="n">
        <v>43134.11201388889</v>
      </c>
      <c r="C1222" t="n">
        <v>1</v>
      </c>
      <c r="D1222" t="n">
        <v>0</v>
      </c>
      <c r="E1222" t="s">
        <v>1233</v>
      </c>
      <c r="F1222" t="s"/>
      <c r="G1222" t="s"/>
      <c r="H1222" t="s"/>
      <c r="I1222" t="s"/>
      <c r="J1222" t="n">
        <v>0</v>
      </c>
      <c r="K1222" t="n">
        <v>0</v>
      </c>
      <c r="L1222" t="n">
        <v>1</v>
      </c>
      <c r="M1222" t="n">
        <v>0</v>
      </c>
    </row>
    <row r="1223" spans="1:13">
      <c r="A1223" s="1">
        <f>HYPERLINK("http://www.twitter.com/NathanBLawrence/status/959611525303558144", "959611525303558144")</f>
        <v/>
      </c>
      <c r="B1223" s="2" t="n">
        <v>43134.09480324074</v>
      </c>
      <c r="C1223" t="n">
        <v>0</v>
      </c>
      <c r="D1223" t="n">
        <v>0</v>
      </c>
      <c r="E1223" t="s">
        <v>1234</v>
      </c>
      <c r="F1223" t="s"/>
      <c r="G1223" t="s"/>
      <c r="H1223" t="s"/>
      <c r="I1223" t="s"/>
      <c r="J1223" t="n">
        <v>0.4404</v>
      </c>
      <c r="K1223" t="n">
        <v>0</v>
      </c>
      <c r="L1223" t="n">
        <v>0.9</v>
      </c>
      <c r="M1223" t="n">
        <v>0.1</v>
      </c>
    </row>
    <row r="1224" spans="1:13">
      <c r="A1224" s="1">
        <f>HYPERLINK("http://www.twitter.com/NathanBLawrence/status/959610324914753536", "959610324914753536")</f>
        <v/>
      </c>
      <c r="B1224" s="2" t="n">
        <v>43134.09148148148</v>
      </c>
      <c r="C1224" t="n">
        <v>0</v>
      </c>
      <c r="D1224" t="n">
        <v>0</v>
      </c>
      <c r="E1224" t="s">
        <v>1235</v>
      </c>
      <c r="F1224" t="s"/>
      <c r="G1224" t="s"/>
      <c r="H1224" t="s"/>
      <c r="I1224" t="s"/>
      <c r="J1224" t="n">
        <v>0</v>
      </c>
      <c r="K1224" t="n">
        <v>0</v>
      </c>
      <c r="L1224" t="n">
        <v>1</v>
      </c>
      <c r="M1224" t="n">
        <v>0</v>
      </c>
    </row>
    <row r="1225" spans="1:13">
      <c r="A1225" s="1">
        <f>HYPERLINK("http://www.twitter.com/NathanBLawrence/status/959607719975059465", "959607719975059465")</f>
        <v/>
      </c>
      <c r="B1225" s="2" t="n">
        <v>43134.08429398148</v>
      </c>
      <c r="C1225" t="n">
        <v>1</v>
      </c>
      <c r="D1225" t="n">
        <v>0</v>
      </c>
      <c r="E1225" t="s">
        <v>1236</v>
      </c>
      <c r="F1225" t="s"/>
      <c r="G1225" t="s"/>
      <c r="H1225" t="s"/>
      <c r="I1225" t="s"/>
      <c r="J1225" t="n">
        <v>-0.296</v>
      </c>
      <c r="K1225" t="n">
        <v>0.423</v>
      </c>
      <c r="L1225" t="n">
        <v>0.577</v>
      </c>
      <c r="M1225" t="n">
        <v>0</v>
      </c>
    </row>
    <row r="1226" spans="1:13">
      <c r="A1226" s="1">
        <f>HYPERLINK("http://www.twitter.com/NathanBLawrence/status/959607147070926852", "959607147070926852")</f>
        <v/>
      </c>
      <c r="B1226" s="2" t="n">
        <v>43134.0827199074</v>
      </c>
      <c r="C1226" t="n">
        <v>3</v>
      </c>
      <c r="D1226" t="n">
        <v>0</v>
      </c>
      <c r="E1226" t="s">
        <v>1237</v>
      </c>
      <c r="F1226" t="s"/>
      <c r="G1226" t="s"/>
      <c r="H1226" t="s"/>
      <c r="I1226" t="s"/>
      <c r="J1226" t="n">
        <v>-0.8126</v>
      </c>
      <c r="K1226" t="n">
        <v>0.315</v>
      </c>
      <c r="L1226" t="n">
        <v>0.598</v>
      </c>
      <c r="M1226" t="n">
        <v>0.08699999999999999</v>
      </c>
    </row>
    <row r="1227" spans="1:13">
      <c r="A1227" s="1">
        <f>HYPERLINK("http://www.twitter.com/NathanBLawrence/status/959603473284255744", "959603473284255744")</f>
        <v/>
      </c>
      <c r="B1227" s="2" t="n">
        <v>43134.07258101852</v>
      </c>
      <c r="C1227" t="n">
        <v>0</v>
      </c>
      <c r="D1227" t="n">
        <v>0</v>
      </c>
      <c r="E1227" t="s">
        <v>1238</v>
      </c>
      <c r="F1227" t="s"/>
      <c r="G1227" t="s"/>
      <c r="H1227" t="s"/>
      <c r="I1227" t="s"/>
      <c r="J1227" t="n">
        <v>0.3612</v>
      </c>
      <c r="K1227" t="n">
        <v>0</v>
      </c>
      <c r="L1227" t="n">
        <v>0.444</v>
      </c>
      <c r="M1227" t="n">
        <v>0.556</v>
      </c>
    </row>
    <row r="1228" spans="1:13">
      <c r="A1228" s="1">
        <f>HYPERLINK("http://www.twitter.com/NathanBLawrence/status/959602886316609538", "959602886316609538")</f>
        <v/>
      </c>
      <c r="B1228" s="2" t="n">
        <v>43134.07096064815</v>
      </c>
      <c r="C1228" t="n">
        <v>0</v>
      </c>
      <c r="D1228" t="n">
        <v>0</v>
      </c>
      <c r="E1228" t="s">
        <v>1239</v>
      </c>
      <c r="F1228" t="s"/>
      <c r="G1228" t="s"/>
      <c r="H1228" t="s"/>
      <c r="I1228" t="s"/>
      <c r="J1228" t="n">
        <v>-0.296</v>
      </c>
      <c r="K1228" t="n">
        <v>0.306</v>
      </c>
      <c r="L1228" t="n">
        <v>0.694</v>
      </c>
      <c r="M1228" t="n">
        <v>0</v>
      </c>
    </row>
    <row r="1229" spans="1:13">
      <c r="A1229" s="1">
        <f>HYPERLINK("http://www.twitter.com/NathanBLawrence/status/959598721683152897", "959598721683152897")</f>
        <v/>
      </c>
      <c r="B1229" s="2" t="n">
        <v>43134.05946759259</v>
      </c>
      <c r="C1229" t="n">
        <v>1</v>
      </c>
      <c r="D1229" t="n">
        <v>0</v>
      </c>
      <c r="E1229" t="s">
        <v>1240</v>
      </c>
      <c r="F1229" t="s"/>
      <c r="G1229" t="s"/>
      <c r="H1229" t="s"/>
      <c r="I1229" t="s"/>
      <c r="J1229" t="n">
        <v>0.4939</v>
      </c>
      <c r="K1229" t="n">
        <v>0.104</v>
      </c>
      <c r="L1229" t="n">
        <v>0.674</v>
      </c>
      <c r="M1229" t="n">
        <v>0.222</v>
      </c>
    </row>
    <row r="1230" spans="1:13">
      <c r="A1230" s="1">
        <f>HYPERLINK("http://www.twitter.com/NathanBLawrence/status/959579947818995715", "959579947818995715")</f>
        <v/>
      </c>
      <c r="B1230" s="2" t="n">
        <v>43134.00766203704</v>
      </c>
      <c r="C1230" t="n">
        <v>0</v>
      </c>
      <c r="D1230" t="n">
        <v>0</v>
      </c>
      <c r="E1230" t="s">
        <v>1241</v>
      </c>
      <c r="F1230" t="s"/>
      <c r="G1230" t="s"/>
      <c r="H1230" t="s"/>
      <c r="I1230" t="s"/>
      <c r="J1230" t="n">
        <v>-0.34</v>
      </c>
      <c r="K1230" t="n">
        <v>0.156</v>
      </c>
      <c r="L1230" t="n">
        <v>0.844</v>
      </c>
      <c r="M1230" t="n">
        <v>0</v>
      </c>
    </row>
    <row r="1231" spans="1:13">
      <c r="A1231" s="1">
        <f>HYPERLINK("http://www.twitter.com/NathanBLawrence/status/959537402195988481", "959537402195988481")</f>
        <v/>
      </c>
      <c r="B1231" s="2" t="n">
        <v>43133.89025462963</v>
      </c>
      <c r="C1231" t="n">
        <v>0</v>
      </c>
      <c r="D1231" t="n">
        <v>0</v>
      </c>
      <c r="E1231" t="s">
        <v>1242</v>
      </c>
      <c r="F1231" t="s"/>
      <c r="G1231" t="s"/>
      <c r="H1231" t="s"/>
      <c r="I1231" t="s"/>
      <c r="J1231" t="n">
        <v>0.4019</v>
      </c>
      <c r="K1231" t="n">
        <v>0</v>
      </c>
      <c r="L1231" t="n">
        <v>0.828</v>
      </c>
      <c r="M1231" t="n">
        <v>0.172</v>
      </c>
    </row>
    <row r="1232" spans="1:13">
      <c r="A1232" s="1">
        <f>HYPERLINK("http://www.twitter.com/NathanBLawrence/status/959534072547758085", "959534072547758085")</f>
        <v/>
      </c>
      <c r="B1232" s="2" t="n">
        <v>43133.88106481481</v>
      </c>
      <c r="C1232" t="n">
        <v>0</v>
      </c>
      <c r="D1232" t="n">
        <v>1627</v>
      </c>
      <c r="E1232" t="s">
        <v>1243</v>
      </c>
      <c r="F1232">
        <f>HYPERLINK("http://pbs.twimg.com/media/DVDxCZVWsAE3aHG.jpg", "http://pbs.twimg.com/media/DVDxCZVWsAE3aHG.jpg")</f>
        <v/>
      </c>
      <c r="G1232" t="s"/>
      <c r="H1232" t="s"/>
      <c r="I1232" t="s"/>
      <c r="J1232" t="n">
        <v>0</v>
      </c>
      <c r="K1232" t="n">
        <v>0</v>
      </c>
      <c r="L1232" t="n">
        <v>1</v>
      </c>
      <c r="M1232" t="n">
        <v>0</v>
      </c>
    </row>
    <row r="1233" spans="1:13">
      <c r="A1233" s="1">
        <f>HYPERLINK("http://www.twitter.com/NathanBLawrence/status/959533175016960000", "959533175016960000")</f>
        <v/>
      </c>
      <c r="B1233" s="2" t="n">
        <v>43133.87858796296</v>
      </c>
      <c r="C1233" t="n">
        <v>0</v>
      </c>
      <c r="D1233" t="n">
        <v>0</v>
      </c>
      <c r="E1233" t="s">
        <v>1244</v>
      </c>
      <c r="F1233" t="s"/>
      <c r="G1233" t="s"/>
      <c r="H1233" t="s"/>
      <c r="I1233" t="s"/>
      <c r="J1233" t="n">
        <v>0</v>
      </c>
      <c r="K1233" t="n">
        <v>0</v>
      </c>
      <c r="L1233" t="n">
        <v>1</v>
      </c>
      <c r="M1233" t="n">
        <v>0</v>
      </c>
    </row>
    <row r="1234" spans="1:13">
      <c r="A1234" s="1">
        <f>HYPERLINK("http://www.twitter.com/NathanBLawrence/status/959531640602193920", "959531640602193920")</f>
        <v/>
      </c>
      <c r="B1234" s="2" t="n">
        <v>43133.87436342592</v>
      </c>
      <c r="C1234" t="n">
        <v>0</v>
      </c>
      <c r="D1234" t="n">
        <v>0</v>
      </c>
      <c r="E1234" t="s">
        <v>1245</v>
      </c>
      <c r="F1234" t="s"/>
      <c r="G1234" t="s"/>
      <c r="H1234" t="s"/>
      <c r="I1234" t="s"/>
      <c r="J1234" t="n">
        <v>0</v>
      </c>
      <c r="K1234" t="n">
        <v>0</v>
      </c>
      <c r="L1234" t="n">
        <v>1</v>
      </c>
      <c r="M1234" t="n">
        <v>0</v>
      </c>
    </row>
    <row r="1235" spans="1:13">
      <c r="A1235" s="1">
        <f>HYPERLINK("http://www.twitter.com/NathanBLawrence/status/959525687722938368", "959525687722938368")</f>
        <v/>
      </c>
      <c r="B1235" s="2" t="n">
        <v>43133.85792824074</v>
      </c>
      <c r="C1235" t="n">
        <v>0</v>
      </c>
      <c r="D1235" t="n">
        <v>0</v>
      </c>
      <c r="E1235" t="s">
        <v>1246</v>
      </c>
      <c r="F1235" t="s"/>
      <c r="G1235" t="s"/>
      <c r="H1235" t="s"/>
      <c r="I1235" t="s"/>
      <c r="J1235" t="n">
        <v>0</v>
      </c>
      <c r="K1235" t="n">
        <v>0</v>
      </c>
      <c r="L1235" t="n">
        <v>1</v>
      </c>
      <c r="M1235" t="n">
        <v>0</v>
      </c>
    </row>
    <row r="1236" spans="1:13">
      <c r="A1236" s="1">
        <f>HYPERLINK("http://www.twitter.com/NathanBLawrence/status/959521518861586433", "959521518861586433")</f>
        <v/>
      </c>
      <c r="B1236" s="2" t="n">
        <v>43133.84642361111</v>
      </c>
      <c r="C1236" t="n">
        <v>0</v>
      </c>
      <c r="D1236" t="n">
        <v>0</v>
      </c>
      <c r="E1236" t="s">
        <v>1247</v>
      </c>
      <c r="F1236" t="s"/>
      <c r="G1236" t="s"/>
      <c r="H1236" t="s"/>
      <c r="I1236" t="s"/>
      <c r="J1236" t="n">
        <v>0</v>
      </c>
      <c r="K1236" t="n">
        <v>0</v>
      </c>
      <c r="L1236" t="n">
        <v>1</v>
      </c>
      <c r="M1236" t="n">
        <v>0</v>
      </c>
    </row>
    <row r="1237" spans="1:13">
      <c r="A1237" s="1">
        <f>HYPERLINK("http://www.twitter.com/NathanBLawrence/status/959520711953059841", "959520711953059841")</f>
        <v/>
      </c>
      <c r="B1237" s="2" t="n">
        <v>43133.84420138889</v>
      </c>
      <c r="C1237" t="n">
        <v>0</v>
      </c>
      <c r="D1237" t="n">
        <v>4084</v>
      </c>
      <c r="E1237" t="s">
        <v>1248</v>
      </c>
      <c r="F1237" t="s"/>
      <c r="G1237" t="s"/>
      <c r="H1237" t="s"/>
      <c r="I1237" t="s"/>
      <c r="J1237" t="n">
        <v>0.5209</v>
      </c>
      <c r="K1237" t="n">
        <v>0.17</v>
      </c>
      <c r="L1237" t="n">
        <v>0.505</v>
      </c>
      <c r="M1237" t="n">
        <v>0.325</v>
      </c>
    </row>
    <row r="1238" spans="1:13">
      <c r="A1238" s="1">
        <f>HYPERLINK("http://www.twitter.com/NathanBLawrence/status/959519216423587840", "959519216423587840")</f>
        <v/>
      </c>
      <c r="B1238" s="2" t="n">
        <v>43133.84006944444</v>
      </c>
      <c r="C1238" t="n">
        <v>0</v>
      </c>
      <c r="D1238" t="n">
        <v>0</v>
      </c>
      <c r="E1238" t="s">
        <v>1249</v>
      </c>
      <c r="F1238" t="s"/>
      <c r="G1238" t="s"/>
      <c r="H1238" t="s"/>
      <c r="I1238" t="s"/>
      <c r="J1238" t="n">
        <v>0</v>
      </c>
      <c r="K1238" t="n">
        <v>0</v>
      </c>
      <c r="L1238" t="n">
        <v>1</v>
      </c>
      <c r="M1238" t="n">
        <v>0</v>
      </c>
    </row>
    <row r="1239" spans="1:13">
      <c r="A1239" s="1">
        <f>HYPERLINK("http://www.twitter.com/NathanBLawrence/status/959513568143183878", "959513568143183878")</f>
        <v/>
      </c>
      <c r="B1239" s="2" t="n">
        <v>43133.82449074074</v>
      </c>
      <c r="C1239" t="n">
        <v>0</v>
      </c>
      <c r="D1239" t="n">
        <v>0</v>
      </c>
      <c r="E1239" t="s">
        <v>1250</v>
      </c>
      <c r="F1239" t="s"/>
      <c r="G1239" t="s"/>
      <c r="H1239" t="s"/>
      <c r="I1239" t="s"/>
      <c r="J1239" t="n">
        <v>0.6597</v>
      </c>
      <c r="K1239" t="n">
        <v>0</v>
      </c>
      <c r="L1239" t="n">
        <v>0.481</v>
      </c>
      <c r="M1239" t="n">
        <v>0.519</v>
      </c>
    </row>
    <row r="1240" spans="1:13">
      <c r="A1240" s="1">
        <f>HYPERLINK("http://www.twitter.com/NathanBLawrence/status/959499010687098880", "959499010687098880")</f>
        <v/>
      </c>
      <c r="B1240" s="2" t="n">
        <v>43133.78431712963</v>
      </c>
      <c r="C1240" t="n">
        <v>1</v>
      </c>
      <c r="D1240" t="n">
        <v>0</v>
      </c>
      <c r="E1240" t="s">
        <v>1251</v>
      </c>
      <c r="F1240" t="s"/>
      <c r="G1240" t="s"/>
      <c r="H1240" t="s"/>
      <c r="I1240" t="s"/>
      <c r="J1240" t="n">
        <v>0.1779</v>
      </c>
      <c r="K1240" t="n">
        <v>0.303</v>
      </c>
      <c r="L1240" t="n">
        <v>0.252</v>
      </c>
      <c r="M1240" t="n">
        <v>0.445</v>
      </c>
    </row>
    <row r="1241" spans="1:13">
      <c r="A1241" s="1">
        <f>HYPERLINK("http://www.twitter.com/NathanBLawrence/status/959498365775110145", "959498365775110145")</f>
        <v/>
      </c>
      <c r="B1241" s="2" t="n">
        <v>43133.78253472222</v>
      </c>
      <c r="C1241" t="n">
        <v>0</v>
      </c>
      <c r="D1241" t="n">
        <v>7134</v>
      </c>
      <c r="E1241" t="s">
        <v>1252</v>
      </c>
      <c r="F1241">
        <f>HYPERLINK("http://pbs.twimg.com/media/DVDLf16VoAEEKOc.jpg", "http://pbs.twimg.com/media/DVDLf16VoAEEKOc.jpg")</f>
        <v/>
      </c>
      <c r="G1241" t="s"/>
      <c r="H1241" t="s"/>
      <c r="I1241" t="s"/>
      <c r="J1241" t="n">
        <v>0</v>
      </c>
      <c r="K1241" t="n">
        <v>0</v>
      </c>
      <c r="L1241" t="n">
        <v>1</v>
      </c>
      <c r="M1241" t="n">
        <v>0</v>
      </c>
    </row>
    <row r="1242" spans="1:13">
      <c r="A1242" s="1">
        <f>HYPERLINK("http://www.twitter.com/NathanBLawrence/status/959495545030094848", "959495545030094848")</f>
        <v/>
      </c>
      <c r="B1242" s="2" t="n">
        <v>43133.77475694445</v>
      </c>
      <c r="C1242" t="n">
        <v>0</v>
      </c>
      <c r="D1242" t="n">
        <v>20244</v>
      </c>
      <c r="E1242" t="s">
        <v>1253</v>
      </c>
      <c r="F1242" t="s"/>
      <c r="G1242" t="s"/>
      <c r="H1242" t="s"/>
      <c r="I1242" t="s"/>
      <c r="J1242" t="n">
        <v>-0.5147</v>
      </c>
      <c r="K1242" t="n">
        <v>0.185</v>
      </c>
      <c r="L1242" t="n">
        <v>0.8149999999999999</v>
      </c>
      <c r="M1242" t="n">
        <v>0</v>
      </c>
    </row>
    <row r="1243" spans="1:13">
      <c r="A1243" s="1">
        <f>HYPERLINK("http://www.twitter.com/NathanBLawrence/status/959494241415294976", "959494241415294976")</f>
        <v/>
      </c>
      <c r="B1243" s="2" t="n">
        <v>43133.77115740741</v>
      </c>
      <c r="C1243" t="n">
        <v>0</v>
      </c>
      <c r="D1243" t="n">
        <v>20360</v>
      </c>
      <c r="E1243" t="s">
        <v>1254</v>
      </c>
      <c r="F1243" t="s"/>
      <c r="G1243" t="s"/>
      <c r="H1243" t="s"/>
      <c r="I1243" t="s"/>
      <c r="J1243" t="n">
        <v>-0.6808</v>
      </c>
      <c r="K1243" t="n">
        <v>0.268</v>
      </c>
      <c r="L1243" t="n">
        <v>0.732</v>
      </c>
      <c r="M1243" t="n">
        <v>0</v>
      </c>
    </row>
    <row r="1244" spans="1:13">
      <c r="A1244" s="1">
        <f>HYPERLINK("http://www.twitter.com/NathanBLawrence/status/959483846445080576", "959483846445080576")</f>
        <v/>
      </c>
      <c r="B1244" s="2" t="n">
        <v>43133.74246527778</v>
      </c>
      <c r="C1244" t="n">
        <v>3</v>
      </c>
      <c r="D1244" t="n">
        <v>3</v>
      </c>
      <c r="E1244" t="s">
        <v>1255</v>
      </c>
      <c r="F1244" t="s"/>
      <c r="G1244" t="s"/>
      <c r="H1244" t="s"/>
      <c r="I1244" t="s"/>
      <c r="J1244" t="n">
        <v>-0.9360000000000001</v>
      </c>
      <c r="K1244" t="n">
        <v>0.38</v>
      </c>
      <c r="L1244" t="n">
        <v>0.62</v>
      </c>
      <c r="M1244" t="n">
        <v>0</v>
      </c>
    </row>
    <row r="1245" spans="1:13">
      <c r="A1245" s="1">
        <f>HYPERLINK("http://www.twitter.com/NathanBLawrence/status/959480866207649792", "959480866207649792")</f>
        <v/>
      </c>
      <c r="B1245" s="2" t="n">
        <v>43133.73424768518</v>
      </c>
      <c r="C1245" t="n">
        <v>0</v>
      </c>
      <c r="D1245" t="n">
        <v>1</v>
      </c>
      <c r="E1245" t="s">
        <v>1256</v>
      </c>
      <c r="F1245" t="s"/>
      <c r="G1245" t="s"/>
      <c r="H1245" t="s"/>
      <c r="I1245" t="s"/>
      <c r="J1245" t="n">
        <v>0.3612</v>
      </c>
      <c r="K1245" t="n">
        <v>0</v>
      </c>
      <c r="L1245" t="n">
        <v>0.8</v>
      </c>
      <c r="M1245" t="n">
        <v>0.2</v>
      </c>
    </row>
    <row r="1246" spans="1:13">
      <c r="A1246" s="1">
        <f>HYPERLINK("http://www.twitter.com/NathanBLawrence/status/959480537575456768", "959480537575456768")</f>
        <v/>
      </c>
      <c r="B1246" s="2" t="n">
        <v>43133.73334490741</v>
      </c>
      <c r="C1246" t="n">
        <v>0</v>
      </c>
      <c r="D1246" t="n">
        <v>391</v>
      </c>
      <c r="E1246" t="s">
        <v>1257</v>
      </c>
      <c r="F1246" t="s"/>
      <c r="G1246" t="s"/>
      <c r="H1246" t="s"/>
      <c r="I1246" t="s"/>
      <c r="J1246" t="n">
        <v>-0.296</v>
      </c>
      <c r="K1246" t="n">
        <v>0.095</v>
      </c>
      <c r="L1246" t="n">
        <v>0.905</v>
      </c>
      <c r="M1246" t="n">
        <v>0</v>
      </c>
    </row>
    <row r="1247" spans="1:13">
      <c r="A1247" s="1">
        <f>HYPERLINK("http://www.twitter.com/NathanBLawrence/status/959460828054507520", "959460828054507520")</f>
        <v/>
      </c>
      <c r="B1247" s="2" t="n">
        <v>43133.67894675926</v>
      </c>
      <c r="C1247" t="n">
        <v>0</v>
      </c>
      <c r="D1247" t="n">
        <v>3352</v>
      </c>
      <c r="E1247" t="s">
        <v>1258</v>
      </c>
      <c r="F1247" t="s"/>
      <c r="G1247" t="s"/>
      <c r="H1247" t="s"/>
      <c r="I1247" t="s"/>
      <c r="J1247" t="n">
        <v>-0.128</v>
      </c>
      <c r="K1247" t="n">
        <v>0.095</v>
      </c>
      <c r="L1247" t="n">
        <v>0.83</v>
      </c>
      <c r="M1247" t="n">
        <v>0.075</v>
      </c>
    </row>
    <row r="1248" spans="1:13">
      <c r="A1248" s="1">
        <f>HYPERLINK("http://www.twitter.com/NathanBLawrence/status/959446137500553216", "959446137500553216")</f>
        <v/>
      </c>
      <c r="B1248" s="2" t="n">
        <v>43133.63841435185</v>
      </c>
      <c r="C1248" t="n">
        <v>0</v>
      </c>
      <c r="D1248" t="n">
        <v>0</v>
      </c>
      <c r="E1248" t="s">
        <v>1259</v>
      </c>
      <c r="F1248" t="s"/>
      <c r="G1248" t="s"/>
      <c r="H1248" t="s"/>
      <c r="I1248" t="s"/>
      <c r="J1248" t="n">
        <v>0.6597</v>
      </c>
      <c r="K1248" t="n">
        <v>0</v>
      </c>
      <c r="L1248" t="n">
        <v>0.625</v>
      </c>
      <c r="M1248" t="n">
        <v>0.375</v>
      </c>
    </row>
    <row r="1249" spans="1:13">
      <c r="A1249" s="1">
        <f>HYPERLINK("http://www.twitter.com/NathanBLawrence/status/959435408814870528", "959435408814870528")</f>
        <v/>
      </c>
      <c r="B1249" s="2" t="n">
        <v>43133.60880787037</v>
      </c>
      <c r="C1249" t="n">
        <v>0</v>
      </c>
      <c r="D1249" t="n">
        <v>2</v>
      </c>
      <c r="E1249" t="s">
        <v>1260</v>
      </c>
      <c r="F1249" t="s"/>
      <c r="G1249" t="s"/>
      <c r="H1249" t="s"/>
      <c r="I1249" t="s"/>
      <c r="J1249" t="n">
        <v>0</v>
      </c>
      <c r="K1249" t="n">
        <v>0</v>
      </c>
      <c r="L1249" t="n">
        <v>1</v>
      </c>
      <c r="M1249" t="n">
        <v>0</v>
      </c>
    </row>
    <row r="1250" spans="1:13">
      <c r="A1250" s="1">
        <f>HYPERLINK("http://www.twitter.com/NathanBLawrence/status/959418191545061376", "959418191545061376")</f>
        <v/>
      </c>
      <c r="B1250" s="2" t="n">
        <v>43133.5612962963</v>
      </c>
      <c r="C1250" t="n">
        <v>0</v>
      </c>
      <c r="D1250" t="n">
        <v>0</v>
      </c>
      <c r="E1250" t="s">
        <v>1261</v>
      </c>
      <c r="F1250" t="s"/>
      <c r="G1250" t="s"/>
      <c r="H1250" t="s"/>
      <c r="I1250" t="s"/>
      <c r="J1250" t="n">
        <v>0</v>
      </c>
      <c r="K1250" t="n">
        <v>0</v>
      </c>
      <c r="L1250" t="n">
        <v>1</v>
      </c>
      <c r="M1250" t="n">
        <v>0</v>
      </c>
    </row>
    <row r="1251" spans="1:13">
      <c r="A1251" s="1">
        <f>HYPERLINK("http://www.twitter.com/NathanBLawrence/status/959389326206537728", "959389326206537728")</f>
        <v/>
      </c>
      <c r="B1251" s="2" t="n">
        <v>43133.48164351852</v>
      </c>
      <c r="C1251" t="n">
        <v>1</v>
      </c>
      <c r="D1251" t="n">
        <v>0</v>
      </c>
      <c r="E1251" t="s">
        <v>1262</v>
      </c>
      <c r="F1251" t="s"/>
      <c r="G1251" t="s"/>
      <c r="H1251" t="s"/>
      <c r="I1251" t="s"/>
      <c r="J1251" t="n">
        <v>0.4404</v>
      </c>
      <c r="K1251" t="n">
        <v>0</v>
      </c>
      <c r="L1251" t="n">
        <v>0.756</v>
      </c>
      <c r="M1251" t="n">
        <v>0.244</v>
      </c>
    </row>
    <row r="1252" spans="1:13">
      <c r="A1252" s="1">
        <f>HYPERLINK("http://www.twitter.com/NathanBLawrence/status/959385149162082304", "959385149162082304")</f>
        <v/>
      </c>
      <c r="B1252" s="2" t="n">
        <v>43133.47011574074</v>
      </c>
      <c r="C1252" t="n">
        <v>0</v>
      </c>
      <c r="D1252" t="n">
        <v>4</v>
      </c>
      <c r="E1252" t="s">
        <v>1263</v>
      </c>
      <c r="F1252" t="s"/>
      <c r="G1252" t="s"/>
      <c r="H1252" t="s"/>
      <c r="I1252" t="s"/>
      <c r="J1252" t="n">
        <v>-0.854</v>
      </c>
      <c r="K1252" t="n">
        <v>0.341</v>
      </c>
      <c r="L1252" t="n">
        <v>0.659</v>
      </c>
      <c r="M1252" t="n">
        <v>0</v>
      </c>
    </row>
    <row r="1253" spans="1:13">
      <c r="A1253" s="1">
        <f>HYPERLINK("http://www.twitter.com/NathanBLawrence/status/959381130284797952", "959381130284797952")</f>
        <v/>
      </c>
      <c r="B1253" s="2" t="n">
        <v>43133.45902777778</v>
      </c>
      <c r="C1253" t="n">
        <v>0</v>
      </c>
      <c r="D1253" t="n">
        <v>59</v>
      </c>
      <c r="E1253" t="s">
        <v>1264</v>
      </c>
      <c r="F1253">
        <f>HYPERLINK("http://pbs.twimg.com/media/DU9NeSOX4AAuVOo.jpg", "http://pbs.twimg.com/media/DU9NeSOX4AAuVOo.jpg")</f>
        <v/>
      </c>
      <c r="G1253" t="s"/>
      <c r="H1253" t="s"/>
      <c r="I1253" t="s"/>
      <c r="J1253" t="n">
        <v>0</v>
      </c>
      <c r="K1253" t="n">
        <v>0</v>
      </c>
      <c r="L1253" t="n">
        <v>1</v>
      </c>
      <c r="M1253" t="n">
        <v>0</v>
      </c>
    </row>
    <row r="1254" spans="1:13">
      <c r="A1254" s="1">
        <f>HYPERLINK("http://www.twitter.com/NathanBLawrence/status/959290332914462721", "959290332914462721")</f>
        <v/>
      </c>
      <c r="B1254" s="2" t="n">
        <v>43133.20847222222</v>
      </c>
      <c r="C1254" t="n">
        <v>0</v>
      </c>
      <c r="D1254" t="n">
        <v>5830</v>
      </c>
      <c r="E1254" t="s">
        <v>1265</v>
      </c>
      <c r="F1254" t="s"/>
      <c r="G1254" t="s"/>
      <c r="H1254" t="s"/>
      <c r="I1254" t="s"/>
      <c r="J1254" t="n">
        <v>-0.4019</v>
      </c>
      <c r="K1254" t="n">
        <v>0.171</v>
      </c>
      <c r="L1254" t="n">
        <v>0.829</v>
      </c>
      <c r="M1254" t="n">
        <v>0</v>
      </c>
    </row>
    <row r="1255" spans="1:13">
      <c r="A1255" s="1">
        <f>HYPERLINK("http://www.twitter.com/NathanBLawrence/status/959285484986892289", "959285484986892289")</f>
        <v/>
      </c>
      <c r="B1255" s="2" t="n">
        <v>43133.19509259259</v>
      </c>
      <c r="C1255" t="n">
        <v>1</v>
      </c>
      <c r="D1255" t="n">
        <v>0</v>
      </c>
      <c r="E1255" t="s">
        <v>1266</v>
      </c>
      <c r="F1255" t="s"/>
      <c r="G1255" t="s"/>
      <c r="H1255" t="s"/>
      <c r="I1255" t="s"/>
      <c r="J1255" t="n">
        <v>0.4404</v>
      </c>
      <c r="K1255" t="n">
        <v>0</v>
      </c>
      <c r="L1255" t="n">
        <v>0.805</v>
      </c>
      <c r="M1255" t="n">
        <v>0.195</v>
      </c>
    </row>
    <row r="1256" spans="1:13">
      <c r="A1256" s="1">
        <f>HYPERLINK("http://www.twitter.com/NathanBLawrence/status/959250968327217154", "959250968327217154")</f>
        <v/>
      </c>
      <c r="B1256" s="2" t="n">
        <v>43133.09984953704</v>
      </c>
      <c r="C1256" t="n">
        <v>0</v>
      </c>
      <c r="D1256" t="n">
        <v>1</v>
      </c>
      <c r="E1256" t="s">
        <v>1267</v>
      </c>
      <c r="F1256" t="s"/>
      <c r="G1256" t="s"/>
      <c r="H1256" t="s"/>
      <c r="I1256" t="s"/>
      <c r="J1256" t="n">
        <v>0.4466</v>
      </c>
      <c r="K1256" t="n">
        <v>0</v>
      </c>
      <c r="L1256" t="n">
        <v>0.866</v>
      </c>
      <c r="M1256" t="n">
        <v>0.134</v>
      </c>
    </row>
    <row r="1257" spans="1:13">
      <c r="A1257" s="1">
        <f>HYPERLINK("http://www.twitter.com/NathanBLawrence/status/959245994381774850", "959245994381774850")</f>
        <v/>
      </c>
      <c r="B1257" s="2" t="n">
        <v>43133.08612268518</v>
      </c>
      <c r="C1257" t="n">
        <v>0</v>
      </c>
      <c r="D1257" t="n">
        <v>1</v>
      </c>
      <c r="E1257" t="s">
        <v>1268</v>
      </c>
      <c r="F1257" t="s"/>
      <c r="G1257" t="s"/>
      <c r="H1257" t="s"/>
      <c r="I1257" t="s"/>
      <c r="J1257" t="n">
        <v>0</v>
      </c>
      <c r="K1257" t="n">
        <v>0</v>
      </c>
      <c r="L1257" t="n">
        <v>1</v>
      </c>
      <c r="M1257" t="n">
        <v>0</v>
      </c>
    </row>
    <row r="1258" spans="1:13">
      <c r="A1258" s="1">
        <f>HYPERLINK("http://www.twitter.com/NathanBLawrence/status/959242642365255680", "959242642365255680")</f>
        <v/>
      </c>
      <c r="B1258" s="2" t="n">
        <v>43133.076875</v>
      </c>
      <c r="C1258" t="n">
        <v>4</v>
      </c>
      <c r="D1258" t="n">
        <v>0</v>
      </c>
      <c r="E1258" t="s">
        <v>1269</v>
      </c>
      <c r="F1258" t="s"/>
      <c r="G1258" t="s"/>
      <c r="H1258" t="s"/>
      <c r="I1258" t="s"/>
      <c r="J1258" t="n">
        <v>0.3612</v>
      </c>
      <c r="K1258" t="n">
        <v>0</v>
      </c>
      <c r="L1258" t="n">
        <v>0.762</v>
      </c>
      <c r="M1258" t="n">
        <v>0.238</v>
      </c>
    </row>
    <row r="1259" spans="1:13">
      <c r="A1259" s="1">
        <f>HYPERLINK("http://www.twitter.com/NathanBLawrence/status/959235254446944256", "959235254446944256")</f>
        <v/>
      </c>
      <c r="B1259" s="2" t="n">
        <v>43133.05649305556</v>
      </c>
      <c r="C1259" t="n">
        <v>2</v>
      </c>
      <c r="D1259" t="n">
        <v>0</v>
      </c>
      <c r="E1259" t="s">
        <v>1270</v>
      </c>
      <c r="F1259" t="s"/>
      <c r="G1259" t="s"/>
      <c r="H1259" t="s"/>
      <c r="I1259" t="s"/>
      <c r="J1259" t="n">
        <v>0.5106000000000001</v>
      </c>
      <c r="K1259" t="n">
        <v>0</v>
      </c>
      <c r="L1259" t="n">
        <v>0.476</v>
      </c>
      <c r="M1259" t="n">
        <v>0.524</v>
      </c>
    </row>
    <row r="1260" spans="1:13">
      <c r="A1260" s="1">
        <f>HYPERLINK("http://www.twitter.com/NathanBLawrence/status/959177777109925888", "959177777109925888")</f>
        <v/>
      </c>
      <c r="B1260" s="2" t="n">
        <v>43132.89788194445</v>
      </c>
      <c r="C1260" t="n">
        <v>0</v>
      </c>
      <c r="D1260" t="n">
        <v>0</v>
      </c>
      <c r="E1260" t="s">
        <v>1271</v>
      </c>
      <c r="F1260" t="s"/>
      <c r="G1260" t="s"/>
      <c r="H1260" t="s"/>
      <c r="I1260" t="s"/>
      <c r="J1260" t="n">
        <v>0.6369</v>
      </c>
      <c r="K1260" t="n">
        <v>0</v>
      </c>
      <c r="L1260" t="n">
        <v>0.625</v>
      </c>
      <c r="M1260" t="n">
        <v>0.375</v>
      </c>
    </row>
    <row r="1261" spans="1:13">
      <c r="A1261" s="1">
        <f>HYPERLINK("http://www.twitter.com/NathanBLawrence/status/959174277395308544", "959174277395308544")</f>
        <v/>
      </c>
      <c r="B1261" s="2" t="n">
        <v>43132.88821759259</v>
      </c>
      <c r="C1261" t="n">
        <v>0</v>
      </c>
      <c r="D1261" t="n">
        <v>0</v>
      </c>
      <c r="E1261" t="s">
        <v>1272</v>
      </c>
      <c r="F1261" t="s"/>
      <c r="G1261" t="s"/>
      <c r="H1261" t="s"/>
      <c r="I1261" t="s"/>
      <c r="J1261" t="n">
        <v>0</v>
      </c>
      <c r="K1261" t="n">
        <v>0</v>
      </c>
      <c r="L1261" t="n">
        <v>1</v>
      </c>
      <c r="M1261" t="n">
        <v>0</v>
      </c>
    </row>
    <row r="1262" spans="1:13">
      <c r="A1262" s="1">
        <f>HYPERLINK("http://www.twitter.com/NathanBLawrence/status/959172590022610944", "959172590022610944")</f>
        <v/>
      </c>
      <c r="B1262" s="2" t="n">
        <v>43132.88356481482</v>
      </c>
      <c r="C1262" t="n">
        <v>0</v>
      </c>
      <c r="D1262" t="n">
        <v>0</v>
      </c>
      <c r="E1262" t="s">
        <v>1273</v>
      </c>
      <c r="F1262" t="s"/>
      <c r="G1262" t="s"/>
      <c r="H1262" t="s"/>
      <c r="I1262" t="s"/>
      <c r="J1262" t="n">
        <v>0</v>
      </c>
      <c r="K1262" t="n">
        <v>0</v>
      </c>
      <c r="L1262" t="n">
        <v>1</v>
      </c>
      <c r="M1262" t="n">
        <v>0</v>
      </c>
    </row>
    <row r="1263" spans="1:13">
      <c r="A1263" s="1">
        <f>HYPERLINK("http://www.twitter.com/NathanBLawrence/status/959157856246345728", "959157856246345728")</f>
        <v/>
      </c>
      <c r="B1263" s="2" t="n">
        <v>43132.84290509259</v>
      </c>
      <c r="C1263" t="n">
        <v>0</v>
      </c>
      <c r="D1263" t="n">
        <v>2</v>
      </c>
      <c r="E1263" t="s">
        <v>1274</v>
      </c>
      <c r="F1263" t="s"/>
      <c r="G1263" t="s"/>
      <c r="H1263" t="s"/>
      <c r="I1263" t="s"/>
      <c r="J1263" t="n">
        <v>0</v>
      </c>
      <c r="K1263" t="n">
        <v>0</v>
      </c>
      <c r="L1263" t="n">
        <v>1</v>
      </c>
      <c r="M1263" t="n">
        <v>0</v>
      </c>
    </row>
    <row r="1264" spans="1:13">
      <c r="A1264" s="1">
        <f>HYPERLINK("http://www.twitter.com/NathanBLawrence/status/959154535259410433", "959154535259410433")</f>
        <v/>
      </c>
      <c r="B1264" s="2" t="n">
        <v>43132.83375</v>
      </c>
      <c r="C1264" t="n">
        <v>0</v>
      </c>
      <c r="D1264" t="n">
        <v>5346</v>
      </c>
      <c r="E1264" t="s">
        <v>1275</v>
      </c>
      <c r="F1264" t="s"/>
      <c r="G1264" t="s"/>
      <c r="H1264" t="s"/>
      <c r="I1264" t="s"/>
      <c r="J1264" t="n">
        <v>0.2263</v>
      </c>
      <c r="K1264" t="n">
        <v>0.078</v>
      </c>
      <c r="L1264" t="n">
        <v>0.8129999999999999</v>
      </c>
      <c r="M1264" t="n">
        <v>0.11</v>
      </c>
    </row>
    <row r="1265" spans="1:13">
      <c r="A1265" s="1">
        <f>HYPERLINK("http://www.twitter.com/NathanBLawrence/status/959117616865562627", "959117616865562627")</f>
        <v/>
      </c>
      <c r="B1265" s="2" t="n">
        <v>43132.731875</v>
      </c>
      <c r="C1265" t="n">
        <v>0</v>
      </c>
      <c r="D1265" t="n">
        <v>0</v>
      </c>
      <c r="E1265" t="s">
        <v>1276</v>
      </c>
      <c r="F1265" t="s"/>
      <c r="G1265" t="s"/>
      <c r="H1265" t="s"/>
      <c r="I1265" t="s"/>
      <c r="J1265" t="n">
        <v>0</v>
      </c>
      <c r="K1265" t="n">
        <v>0</v>
      </c>
      <c r="L1265" t="n">
        <v>1</v>
      </c>
      <c r="M1265" t="n">
        <v>0</v>
      </c>
    </row>
    <row r="1266" spans="1:13">
      <c r="A1266" s="1">
        <f>HYPERLINK("http://www.twitter.com/NathanBLawrence/status/959117031969886208", "959117031969886208")</f>
        <v/>
      </c>
      <c r="B1266" s="2" t="n">
        <v>43132.73025462963</v>
      </c>
      <c r="C1266" t="n">
        <v>0</v>
      </c>
      <c r="D1266" t="n">
        <v>0</v>
      </c>
      <c r="E1266" t="s">
        <v>1277</v>
      </c>
      <c r="F1266" t="s"/>
      <c r="G1266" t="s"/>
      <c r="H1266" t="s"/>
      <c r="I1266" t="s"/>
      <c r="J1266" t="n">
        <v>-0.3348</v>
      </c>
      <c r="K1266" t="n">
        <v>0.192</v>
      </c>
      <c r="L1266" t="n">
        <v>0.8080000000000001</v>
      </c>
      <c r="M1266" t="n">
        <v>0</v>
      </c>
    </row>
    <row r="1267" spans="1:13">
      <c r="A1267" s="1">
        <f>HYPERLINK("http://www.twitter.com/NathanBLawrence/status/959112878644228096", "959112878644228096")</f>
        <v/>
      </c>
      <c r="B1267" s="2" t="n">
        <v>43132.7187962963</v>
      </c>
      <c r="C1267" t="n">
        <v>0</v>
      </c>
      <c r="D1267" t="n">
        <v>0</v>
      </c>
      <c r="E1267" t="s">
        <v>1278</v>
      </c>
      <c r="F1267" t="s"/>
      <c r="G1267" t="s"/>
      <c r="H1267" t="s"/>
      <c r="I1267" t="s"/>
      <c r="J1267" t="n">
        <v>0</v>
      </c>
      <c r="K1267" t="n">
        <v>0</v>
      </c>
      <c r="L1267" t="n">
        <v>1</v>
      </c>
      <c r="M1267" t="n">
        <v>0</v>
      </c>
    </row>
    <row r="1268" spans="1:13">
      <c r="A1268" s="1">
        <f>HYPERLINK("http://www.twitter.com/NathanBLawrence/status/959109320951681024", "959109320951681024")</f>
        <v/>
      </c>
      <c r="B1268" s="2" t="n">
        <v>43132.70898148148</v>
      </c>
      <c r="C1268" t="n">
        <v>0</v>
      </c>
      <c r="D1268" t="n">
        <v>0</v>
      </c>
      <c r="E1268" t="s">
        <v>1279</v>
      </c>
      <c r="F1268" t="s"/>
      <c r="G1268" t="s"/>
      <c r="H1268" t="s"/>
      <c r="I1268" t="s"/>
      <c r="J1268" t="n">
        <v>0</v>
      </c>
      <c r="K1268" t="n">
        <v>0</v>
      </c>
      <c r="L1268" t="n">
        <v>1</v>
      </c>
      <c r="M1268" t="n">
        <v>0</v>
      </c>
    </row>
    <row r="1269" spans="1:13">
      <c r="A1269" s="1">
        <f>HYPERLINK("http://www.twitter.com/NathanBLawrence/status/959092076884447233", "959092076884447233")</f>
        <v/>
      </c>
      <c r="B1269" s="2" t="n">
        <v>43132.66138888889</v>
      </c>
      <c r="C1269" t="n">
        <v>0</v>
      </c>
      <c r="D1269" t="n">
        <v>36</v>
      </c>
      <c r="E1269" t="s">
        <v>1280</v>
      </c>
      <c r="F1269" t="s"/>
      <c r="G1269" t="s"/>
      <c r="H1269" t="s"/>
      <c r="I1269" t="s"/>
      <c r="J1269" t="n">
        <v>0</v>
      </c>
      <c r="K1269" t="n">
        <v>0</v>
      </c>
      <c r="L1269" t="n">
        <v>1</v>
      </c>
      <c r="M1269" t="n">
        <v>0</v>
      </c>
    </row>
    <row r="1270" spans="1:13">
      <c r="A1270" s="1">
        <f>HYPERLINK("http://www.twitter.com/NathanBLawrence/status/959091787204788224", "959091787204788224")</f>
        <v/>
      </c>
      <c r="B1270" s="2" t="n">
        <v>43132.66059027778</v>
      </c>
      <c r="C1270" t="n">
        <v>0</v>
      </c>
      <c r="D1270" t="n">
        <v>141</v>
      </c>
      <c r="E1270" t="s">
        <v>1281</v>
      </c>
      <c r="F1270" t="s"/>
      <c r="G1270" t="s"/>
      <c r="H1270" t="s"/>
      <c r="I1270" t="s"/>
      <c r="J1270" t="n">
        <v>-0.4329</v>
      </c>
      <c r="K1270" t="n">
        <v>0.12</v>
      </c>
      <c r="L1270" t="n">
        <v>0.88</v>
      </c>
      <c r="M1270" t="n">
        <v>0</v>
      </c>
    </row>
    <row r="1271" spans="1:13">
      <c r="A1271" s="1">
        <f>HYPERLINK("http://www.twitter.com/NathanBLawrence/status/959091562390216705", "959091562390216705")</f>
        <v/>
      </c>
      <c r="B1271" s="2" t="n">
        <v>43132.65997685185</v>
      </c>
      <c r="C1271" t="n">
        <v>16</v>
      </c>
      <c r="D1271" t="n">
        <v>13</v>
      </c>
      <c r="E1271" t="s">
        <v>1282</v>
      </c>
      <c r="F1271" t="s"/>
      <c r="G1271" t="s"/>
      <c r="H1271" t="s"/>
      <c r="I1271" t="s"/>
      <c r="J1271" t="n">
        <v>-0.5216</v>
      </c>
      <c r="K1271" t="n">
        <v>0.234</v>
      </c>
      <c r="L1271" t="n">
        <v>0.766</v>
      </c>
      <c r="M1271" t="n">
        <v>0</v>
      </c>
    </row>
    <row r="1272" spans="1:13">
      <c r="A1272" s="1">
        <f>HYPERLINK("http://www.twitter.com/NathanBLawrence/status/959079449114357763", "959079449114357763")</f>
        <v/>
      </c>
      <c r="B1272" s="2" t="n">
        <v>43132.62655092592</v>
      </c>
      <c r="C1272" t="n">
        <v>0</v>
      </c>
      <c r="D1272" t="n">
        <v>849</v>
      </c>
      <c r="E1272" t="s">
        <v>1283</v>
      </c>
      <c r="F1272" t="s"/>
      <c r="G1272" t="s"/>
      <c r="H1272" t="s"/>
      <c r="I1272" t="s"/>
      <c r="J1272" t="n">
        <v>0.3182</v>
      </c>
      <c r="K1272" t="n">
        <v>0</v>
      </c>
      <c r="L1272" t="n">
        <v>0.827</v>
      </c>
      <c r="M1272" t="n">
        <v>0.173</v>
      </c>
    </row>
    <row r="1273" spans="1:13">
      <c r="A1273" s="1">
        <f>HYPERLINK("http://www.twitter.com/NathanBLawrence/status/959079273888911361", "959079273888911361")</f>
        <v/>
      </c>
      <c r="B1273" s="2" t="n">
        <v>43132.62606481482</v>
      </c>
      <c r="C1273" t="n">
        <v>0</v>
      </c>
      <c r="D1273" t="n">
        <v>7</v>
      </c>
      <c r="E1273" t="s">
        <v>1284</v>
      </c>
      <c r="F1273">
        <f>HYPERLINK("http://pbs.twimg.com/media/DU9VAWCX0AAEvNq.jpg", "http://pbs.twimg.com/media/DU9VAWCX0AAEvNq.jpg")</f>
        <v/>
      </c>
      <c r="G1273" t="s"/>
      <c r="H1273" t="s"/>
      <c r="I1273" t="s"/>
      <c r="J1273" t="n">
        <v>0</v>
      </c>
      <c r="K1273" t="n">
        <v>0</v>
      </c>
      <c r="L1273" t="n">
        <v>1</v>
      </c>
      <c r="M1273" t="n">
        <v>0</v>
      </c>
    </row>
    <row r="1274" spans="1:13">
      <c r="A1274" s="1">
        <f>HYPERLINK("http://www.twitter.com/NathanBLawrence/status/959074326397046785", "959074326397046785")</f>
        <v/>
      </c>
      <c r="B1274" s="2" t="n">
        <v>43132.61240740741</v>
      </c>
      <c r="C1274" t="n">
        <v>0</v>
      </c>
      <c r="D1274" t="n">
        <v>7</v>
      </c>
      <c r="E1274" t="s">
        <v>1285</v>
      </c>
      <c r="F1274" t="s"/>
      <c r="G1274" t="s"/>
      <c r="H1274" t="s"/>
      <c r="I1274" t="s"/>
      <c r="J1274" t="n">
        <v>0.5106000000000001</v>
      </c>
      <c r="K1274" t="n">
        <v>0</v>
      </c>
      <c r="L1274" t="n">
        <v>0.8090000000000001</v>
      </c>
      <c r="M1274" t="n">
        <v>0.191</v>
      </c>
    </row>
    <row r="1275" spans="1:13">
      <c r="A1275" s="1">
        <f>HYPERLINK("http://www.twitter.com/NathanBLawrence/status/959057587718295553", "959057587718295553")</f>
        <v/>
      </c>
      <c r="B1275" s="2" t="n">
        <v>43132.56621527778</v>
      </c>
      <c r="C1275" t="n">
        <v>6</v>
      </c>
      <c r="D1275" t="n">
        <v>3</v>
      </c>
      <c r="E1275" t="s">
        <v>1286</v>
      </c>
      <c r="F1275" t="s"/>
      <c r="G1275" t="s"/>
      <c r="H1275" t="s"/>
      <c r="I1275" t="s"/>
      <c r="J1275" t="n">
        <v>0.8302</v>
      </c>
      <c r="K1275" t="n">
        <v>0</v>
      </c>
      <c r="L1275" t="n">
        <v>0.607</v>
      </c>
      <c r="M1275" t="n">
        <v>0.393</v>
      </c>
    </row>
    <row r="1276" spans="1:13">
      <c r="A1276" s="1">
        <f>HYPERLINK("http://www.twitter.com/NathanBLawrence/status/958910483695882240", "958910483695882240")</f>
        <v/>
      </c>
      <c r="B1276" s="2" t="n">
        <v>43132.16028935185</v>
      </c>
      <c r="C1276" t="n">
        <v>0</v>
      </c>
      <c r="D1276" t="n">
        <v>0</v>
      </c>
      <c r="E1276" t="s">
        <v>1287</v>
      </c>
      <c r="F1276" t="s"/>
      <c r="G1276" t="s"/>
      <c r="H1276" t="s"/>
      <c r="I1276" t="s"/>
      <c r="J1276" t="n">
        <v>0</v>
      </c>
      <c r="K1276" t="n">
        <v>0</v>
      </c>
      <c r="L1276" t="n">
        <v>1</v>
      </c>
      <c r="M1276" t="n">
        <v>0</v>
      </c>
    </row>
    <row r="1277" spans="1:13">
      <c r="A1277" s="1">
        <f>HYPERLINK("http://www.twitter.com/NathanBLawrence/status/958901838547386368", "958901838547386368")</f>
        <v/>
      </c>
      <c r="B1277" s="2" t="n">
        <v>43132.13643518519</v>
      </c>
      <c r="C1277" t="n">
        <v>1</v>
      </c>
      <c r="D1277" t="n">
        <v>0</v>
      </c>
      <c r="E1277" t="s">
        <v>1288</v>
      </c>
      <c r="F1277" t="s"/>
      <c r="G1277" t="s"/>
      <c r="H1277" t="s"/>
      <c r="I1277" t="s"/>
      <c r="J1277" t="n">
        <v>-0.5719</v>
      </c>
      <c r="K1277" t="n">
        <v>0.402</v>
      </c>
      <c r="L1277" t="n">
        <v>0.598</v>
      </c>
      <c r="M1277" t="n">
        <v>0</v>
      </c>
    </row>
    <row r="1278" spans="1:13">
      <c r="A1278" s="1">
        <f>HYPERLINK("http://www.twitter.com/NathanBLawrence/status/958901511916019712", "958901511916019712")</f>
        <v/>
      </c>
      <c r="B1278" s="2" t="n">
        <v>43132.13553240741</v>
      </c>
      <c r="C1278" t="n">
        <v>0</v>
      </c>
      <c r="D1278" t="n">
        <v>0</v>
      </c>
      <c r="E1278" t="s">
        <v>1289</v>
      </c>
      <c r="F1278" t="s"/>
      <c r="G1278" t="s"/>
      <c r="H1278" t="s"/>
      <c r="I1278" t="s"/>
      <c r="J1278" t="n">
        <v>-0.6597</v>
      </c>
      <c r="K1278" t="n">
        <v>0.181</v>
      </c>
      <c r="L1278" t="n">
        <v>0.701</v>
      </c>
      <c r="M1278" t="n">
        <v>0.118</v>
      </c>
    </row>
    <row r="1279" spans="1:13">
      <c r="A1279" s="1">
        <f>HYPERLINK("http://www.twitter.com/NathanBLawrence/status/958894003428225024", "958894003428225024")</f>
        <v/>
      </c>
      <c r="B1279" s="2" t="n">
        <v>43132.11481481481</v>
      </c>
      <c r="C1279" t="n">
        <v>0</v>
      </c>
      <c r="D1279" t="n">
        <v>14</v>
      </c>
      <c r="E1279" t="s">
        <v>1290</v>
      </c>
      <c r="F1279">
        <f>HYPERLINK("http://pbs.twimg.com/media/DU6sy80W4AAvoM-.jpg", "http://pbs.twimg.com/media/DU6sy80W4AAvoM-.jpg")</f>
        <v/>
      </c>
      <c r="G1279" t="s"/>
      <c r="H1279" t="s"/>
      <c r="I1279" t="s"/>
      <c r="J1279" t="n">
        <v>0.7125</v>
      </c>
      <c r="K1279" t="n">
        <v>0</v>
      </c>
      <c r="L1279" t="n">
        <v>0.8100000000000001</v>
      </c>
      <c r="M1279" t="n">
        <v>0.19</v>
      </c>
    </row>
    <row r="1280" spans="1:13">
      <c r="A1280" s="1">
        <f>HYPERLINK("http://www.twitter.com/NathanBLawrence/status/958887327857823744", "958887327857823744")</f>
        <v/>
      </c>
      <c r="B1280" s="2" t="n">
        <v>43132.09638888889</v>
      </c>
      <c r="C1280" t="n">
        <v>0</v>
      </c>
      <c r="D1280" t="n">
        <v>0</v>
      </c>
      <c r="E1280" t="s">
        <v>1291</v>
      </c>
      <c r="F1280" t="s"/>
      <c r="G1280" t="s"/>
      <c r="H1280" t="s"/>
      <c r="I1280" t="s"/>
      <c r="J1280" t="n">
        <v>0</v>
      </c>
      <c r="K1280" t="n">
        <v>0</v>
      </c>
      <c r="L1280" t="n">
        <v>1</v>
      </c>
      <c r="M1280" t="n">
        <v>0</v>
      </c>
    </row>
    <row r="1281" spans="1:13">
      <c r="A1281" s="1">
        <f>HYPERLINK("http://www.twitter.com/NathanBLawrence/status/958886999980683266", "958886999980683266")</f>
        <v/>
      </c>
      <c r="B1281" s="2" t="n">
        <v>43132.09548611111</v>
      </c>
      <c r="C1281" t="n">
        <v>0</v>
      </c>
      <c r="D1281" t="n">
        <v>0</v>
      </c>
      <c r="E1281" t="s">
        <v>1292</v>
      </c>
      <c r="F1281">
        <f>HYPERLINK("http://pbs.twimg.com/media/DU6mo25U8AA7fNH.jpg", "http://pbs.twimg.com/media/DU6mo25U8AA7fNH.jpg")</f>
        <v/>
      </c>
      <c r="G1281" t="s"/>
      <c r="H1281" t="s"/>
      <c r="I1281" t="s"/>
      <c r="J1281" t="n">
        <v>0</v>
      </c>
      <c r="K1281" t="n">
        <v>0</v>
      </c>
      <c r="L1281" t="n">
        <v>1</v>
      </c>
      <c r="M1281" t="n">
        <v>0</v>
      </c>
    </row>
    <row r="1282" spans="1:13">
      <c r="A1282" s="1">
        <f>HYPERLINK("http://www.twitter.com/NathanBLawrence/status/958886114240102400", "958886114240102400")</f>
        <v/>
      </c>
      <c r="B1282" s="2" t="n">
        <v>43132.09304398148</v>
      </c>
      <c r="C1282" t="n">
        <v>0</v>
      </c>
      <c r="D1282" t="n">
        <v>2</v>
      </c>
      <c r="E1282" t="s">
        <v>1293</v>
      </c>
      <c r="F1282" t="s"/>
      <c r="G1282" t="s"/>
      <c r="H1282" t="s"/>
      <c r="I1282" t="s"/>
      <c r="J1282" t="n">
        <v>0.4215</v>
      </c>
      <c r="K1282" t="n">
        <v>0</v>
      </c>
      <c r="L1282" t="n">
        <v>0.872</v>
      </c>
      <c r="M1282" t="n">
        <v>0.128</v>
      </c>
    </row>
    <row r="1283" spans="1:13">
      <c r="A1283" s="1">
        <f>HYPERLINK("http://www.twitter.com/NathanBLawrence/status/958886094300418050", "958886094300418050")</f>
        <v/>
      </c>
      <c r="B1283" s="2" t="n">
        <v>43132.09298611111</v>
      </c>
      <c r="C1283" t="n">
        <v>1</v>
      </c>
      <c r="D1283" t="n">
        <v>0</v>
      </c>
      <c r="E1283" t="s">
        <v>1294</v>
      </c>
      <c r="F1283" t="s"/>
      <c r="G1283" t="s"/>
      <c r="H1283" t="s"/>
      <c r="I1283" t="s"/>
      <c r="J1283" t="n">
        <v>0.5526</v>
      </c>
      <c r="K1283" t="n">
        <v>0</v>
      </c>
      <c r="L1283" t="n">
        <v>0.855</v>
      </c>
      <c r="M1283" t="n">
        <v>0.145</v>
      </c>
    </row>
    <row r="1284" spans="1:13">
      <c r="A1284" s="1">
        <f>HYPERLINK("http://www.twitter.com/NathanBLawrence/status/958885439632441344", "958885439632441344")</f>
        <v/>
      </c>
      <c r="B1284" s="2" t="n">
        <v>43132.09118055556</v>
      </c>
      <c r="C1284" t="n">
        <v>0</v>
      </c>
      <c r="D1284" t="n">
        <v>524</v>
      </c>
      <c r="E1284" t="s">
        <v>1295</v>
      </c>
      <c r="F1284" t="s"/>
      <c r="G1284" t="s"/>
      <c r="H1284" t="s"/>
      <c r="I1284" t="s"/>
      <c r="J1284" t="n">
        <v>0.4588</v>
      </c>
      <c r="K1284" t="n">
        <v>0.067</v>
      </c>
      <c r="L1284" t="n">
        <v>0.769</v>
      </c>
      <c r="M1284" t="n">
        <v>0.163</v>
      </c>
    </row>
    <row r="1285" spans="1:13">
      <c r="A1285" s="1">
        <f>HYPERLINK("http://www.twitter.com/NathanBLawrence/status/958885337698357248", "958885337698357248")</f>
        <v/>
      </c>
      <c r="B1285" s="2" t="n">
        <v>43132.09090277777</v>
      </c>
      <c r="C1285" t="n">
        <v>2</v>
      </c>
      <c r="D1285" t="n">
        <v>0</v>
      </c>
      <c r="E1285" t="s">
        <v>1296</v>
      </c>
      <c r="F1285" t="s"/>
      <c r="G1285" t="s"/>
      <c r="H1285" t="s"/>
      <c r="I1285" t="s"/>
      <c r="J1285" t="n">
        <v>0.4767</v>
      </c>
      <c r="K1285" t="n">
        <v>0</v>
      </c>
      <c r="L1285" t="n">
        <v>0.659</v>
      </c>
      <c r="M1285" t="n">
        <v>0.341</v>
      </c>
    </row>
    <row r="1286" spans="1:13">
      <c r="A1286" s="1">
        <f>HYPERLINK("http://www.twitter.com/NathanBLawrence/status/958851000818978817", "958851000818978817")</f>
        <v/>
      </c>
      <c r="B1286" s="2" t="n">
        <v>43131.99614583333</v>
      </c>
      <c r="C1286" t="n">
        <v>1</v>
      </c>
      <c r="D1286" t="n">
        <v>0</v>
      </c>
      <c r="E1286" t="s">
        <v>1297</v>
      </c>
      <c r="F1286" t="s"/>
      <c r="G1286" t="s"/>
      <c r="H1286" t="s"/>
      <c r="I1286" t="s"/>
      <c r="J1286" t="n">
        <v>0</v>
      </c>
      <c r="K1286" t="n">
        <v>0</v>
      </c>
      <c r="L1286" t="n">
        <v>1</v>
      </c>
      <c r="M1286" t="n">
        <v>0</v>
      </c>
    </row>
    <row r="1287" spans="1:13">
      <c r="A1287" s="1">
        <f>HYPERLINK("http://www.twitter.com/NathanBLawrence/status/958845785877237761", "958845785877237761")</f>
        <v/>
      </c>
      <c r="B1287" s="2" t="n">
        <v>43131.98175925926</v>
      </c>
      <c r="C1287" t="n">
        <v>0</v>
      </c>
      <c r="D1287" t="n">
        <v>2243</v>
      </c>
      <c r="E1287" t="s">
        <v>1298</v>
      </c>
      <c r="F1287" t="s"/>
      <c r="G1287" t="s"/>
      <c r="H1287" t="s"/>
      <c r="I1287" t="s"/>
      <c r="J1287" t="n">
        <v>-0.0516</v>
      </c>
      <c r="K1287" t="n">
        <v>0.12</v>
      </c>
      <c r="L1287" t="n">
        <v>0.769</v>
      </c>
      <c r="M1287" t="n">
        <v>0.111</v>
      </c>
    </row>
    <row r="1288" spans="1:13">
      <c r="A1288" s="1">
        <f>HYPERLINK("http://www.twitter.com/NathanBLawrence/status/958843578079465472", "958843578079465472")</f>
        <v/>
      </c>
      <c r="B1288" s="2" t="n">
        <v>43131.9756712963</v>
      </c>
      <c r="C1288" t="n">
        <v>0</v>
      </c>
      <c r="D1288" t="n">
        <v>0</v>
      </c>
      <c r="E1288" t="s">
        <v>1299</v>
      </c>
      <c r="F1288" t="s"/>
      <c r="G1288" t="s"/>
      <c r="H1288" t="s"/>
      <c r="I1288" t="s"/>
      <c r="J1288" t="n">
        <v>0.3595</v>
      </c>
      <c r="K1288" t="n">
        <v>0</v>
      </c>
      <c r="L1288" t="n">
        <v>0.783</v>
      </c>
      <c r="M1288" t="n">
        <v>0.217</v>
      </c>
    </row>
    <row r="1289" spans="1:13">
      <c r="A1289" s="1">
        <f>HYPERLINK("http://www.twitter.com/NathanBLawrence/status/958805235497078785", "958805235497078785")</f>
        <v/>
      </c>
      <c r="B1289" s="2" t="n">
        <v>43131.86986111111</v>
      </c>
      <c r="C1289" t="n">
        <v>0</v>
      </c>
      <c r="D1289" t="n">
        <v>0</v>
      </c>
      <c r="E1289" t="s">
        <v>1300</v>
      </c>
      <c r="F1289" t="s"/>
      <c r="G1289" t="s"/>
      <c r="H1289" t="s"/>
      <c r="I1289" t="s"/>
      <c r="J1289" t="n">
        <v>0</v>
      </c>
      <c r="K1289" t="n">
        <v>0</v>
      </c>
      <c r="L1289" t="n">
        <v>1</v>
      </c>
      <c r="M1289" t="n">
        <v>0</v>
      </c>
    </row>
    <row r="1290" spans="1:13">
      <c r="A1290" s="1">
        <f>HYPERLINK("http://www.twitter.com/NathanBLawrence/status/958730190334590976", "958730190334590976")</f>
        <v/>
      </c>
      <c r="B1290" s="2" t="n">
        <v>43131.66277777778</v>
      </c>
      <c r="C1290" t="n">
        <v>1</v>
      </c>
      <c r="D1290" t="n">
        <v>0</v>
      </c>
      <c r="E1290" t="s">
        <v>1301</v>
      </c>
      <c r="F1290" t="s"/>
      <c r="G1290" t="s"/>
      <c r="H1290" t="s"/>
      <c r="I1290" t="s"/>
      <c r="J1290" t="n">
        <v>-0.4767</v>
      </c>
      <c r="K1290" t="n">
        <v>0.162</v>
      </c>
      <c r="L1290" t="n">
        <v>0.838</v>
      </c>
      <c r="M1290" t="n">
        <v>0</v>
      </c>
    </row>
    <row r="1291" spans="1:13">
      <c r="A1291" s="1">
        <f>HYPERLINK("http://www.twitter.com/NathanBLawrence/status/958722022477127680", "958722022477127680")</f>
        <v/>
      </c>
      <c r="B1291" s="2" t="n">
        <v>43131.64024305555</v>
      </c>
      <c r="C1291" t="n">
        <v>0</v>
      </c>
      <c r="D1291" t="n">
        <v>0</v>
      </c>
      <c r="E1291" t="s">
        <v>1302</v>
      </c>
      <c r="F1291" t="s"/>
      <c r="G1291" t="s"/>
      <c r="H1291" t="s"/>
      <c r="I1291" t="s"/>
      <c r="J1291" t="n">
        <v>0.7536</v>
      </c>
      <c r="K1291" t="n">
        <v>0.095</v>
      </c>
      <c r="L1291" t="n">
        <v>0.578</v>
      </c>
      <c r="M1291" t="n">
        <v>0.327</v>
      </c>
    </row>
    <row r="1292" spans="1:13">
      <c r="A1292" s="1">
        <f>HYPERLINK("http://www.twitter.com/NathanBLawrence/status/958712817246498816", "958712817246498816")</f>
        <v/>
      </c>
      <c r="B1292" s="2" t="n">
        <v>43131.61483796296</v>
      </c>
      <c r="C1292" t="n">
        <v>0</v>
      </c>
      <c r="D1292" t="n">
        <v>26678</v>
      </c>
      <c r="E1292" t="s">
        <v>1303</v>
      </c>
      <c r="F1292" t="s"/>
      <c r="G1292" t="s"/>
      <c r="H1292" t="s"/>
      <c r="I1292" t="s"/>
      <c r="J1292" t="n">
        <v>0</v>
      </c>
      <c r="K1292" t="n">
        <v>0</v>
      </c>
      <c r="L1292" t="n">
        <v>1</v>
      </c>
      <c r="M1292" t="n">
        <v>0</v>
      </c>
    </row>
    <row r="1293" spans="1:13">
      <c r="A1293" s="1">
        <f>HYPERLINK("http://www.twitter.com/NathanBLawrence/status/958708025673572353", "958708025673572353")</f>
        <v/>
      </c>
      <c r="B1293" s="2" t="n">
        <v>43131.6016087963</v>
      </c>
      <c r="C1293" t="n">
        <v>0</v>
      </c>
      <c r="D1293" t="n">
        <v>0</v>
      </c>
      <c r="E1293" t="s">
        <v>1304</v>
      </c>
      <c r="F1293" t="s"/>
      <c r="G1293" t="s"/>
      <c r="H1293" t="s"/>
      <c r="I1293" t="s"/>
      <c r="J1293" t="n">
        <v>0</v>
      </c>
      <c r="K1293" t="n">
        <v>0</v>
      </c>
      <c r="L1293" t="n">
        <v>1</v>
      </c>
      <c r="M1293" t="n">
        <v>0</v>
      </c>
    </row>
    <row r="1294" spans="1:13">
      <c r="A1294" s="1">
        <f>HYPERLINK("http://www.twitter.com/NathanBLawrence/status/958689665556598785", "958689665556598785")</f>
        <v/>
      </c>
      <c r="B1294" s="2" t="n">
        <v>43131.55094907407</v>
      </c>
      <c r="C1294" t="n">
        <v>0</v>
      </c>
      <c r="D1294" t="n">
        <v>23661</v>
      </c>
      <c r="E1294" t="s">
        <v>1305</v>
      </c>
      <c r="F1294" t="s"/>
      <c r="G1294" t="s"/>
      <c r="H1294" t="s"/>
      <c r="I1294" t="s"/>
      <c r="J1294" t="n">
        <v>0.2579</v>
      </c>
      <c r="K1294" t="n">
        <v>0.209</v>
      </c>
      <c r="L1294" t="n">
        <v>0.504</v>
      </c>
      <c r="M1294" t="n">
        <v>0.287</v>
      </c>
    </row>
    <row r="1295" spans="1:13">
      <c r="A1295" s="1">
        <f>HYPERLINK("http://www.twitter.com/NathanBLawrence/status/958571825973399552", "958571825973399552")</f>
        <v/>
      </c>
      <c r="B1295" s="2" t="n">
        <v>43131.22577546296</v>
      </c>
      <c r="C1295" t="n">
        <v>0</v>
      </c>
      <c r="D1295" t="n">
        <v>4535</v>
      </c>
      <c r="E1295" t="s">
        <v>1306</v>
      </c>
      <c r="F1295">
        <f>HYPERLINK("http://pbs.twimg.com/media/DU1zJVvX4AA8Qv4.jpg", "http://pbs.twimg.com/media/DU1zJVvX4AA8Qv4.jpg")</f>
        <v/>
      </c>
      <c r="G1295" t="s"/>
      <c r="H1295" t="s"/>
      <c r="I1295" t="s"/>
      <c r="J1295" t="n">
        <v>0.0772</v>
      </c>
      <c r="K1295" t="n">
        <v>0</v>
      </c>
      <c r="L1295" t="n">
        <v>0.944</v>
      </c>
      <c r="M1295" t="n">
        <v>0.056</v>
      </c>
    </row>
    <row r="1296" spans="1:13">
      <c r="A1296" s="1">
        <f>HYPERLINK("http://www.twitter.com/NathanBLawrence/status/958555155548565504", "958555155548565504")</f>
        <v/>
      </c>
      <c r="B1296" s="2" t="n">
        <v>43131.17976851852</v>
      </c>
      <c r="C1296" t="n">
        <v>0</v>
      </c>
      <c r="D1296" t="n">
        <v>0</v>
      </c>
      <c r="E1296" t="s">
        <v>1307</v>
      </c>
      <c r="F1296" t="s"/>
      <c r="G1296" t="s"/>
      <c r="H1296" t="s"/>
      <c r="I1296" t="s"/>
      <c r="J1296" t="n">
        <v>0</v>
      </c>
      <c r="K1296" t="n">
        <v>0</v>
      </c>
      <c r="L1296" t="n">
        <v>1</v>
      </c>
      <c r="M1296" t="n">
        <v>0</v>
      </c>
    </row>
    <row r="1297" spans="1:13">
      <c r="A1297" s="1">
        <f>HYPERLINK("http://www.twitter.com/NathanBLawrence/status/958540676865634304", "958540676865634304")</f>
        <v/>
      </c>
      <c r="B1297" s="2" t="n">
        <v>43131.13981481481</v>
      </c>
      <c r="C1297" t="n">
        <v>2</v>
      </c>
      <c r="D1297" t="n">
        <v>0</v>
      </c>
      <c r="E1297" t="s">
        <v>1308</v>
      </c>
      <c r="F1297" t="s"/>
      <c r="G1297" t="s"/>
      <c r="H1297" t="s"/>
      <c r="I1297" t="s"/>
      <c r="J1297" t="n">
        <v>0</v>
      </c>
      <c r="K1297" t="n">
        <v>0</v>
      </c>
      <c r="L1297" t="n">
        <v>1</v>
      </c>
      <c r="M1297" t="n">
        <v>0</v>
      </c>
    </row>
    <row r="1298" spans="1:13">
      <c r="A1298" s="1">
        <f>HYPERLINK("http://www.twitter.com/NathanBLawrence/status/958539538347020288", "958539538347020288")</f>
        <v/>
      </c>
      <c r="B1298" s="2" t="n">
        <v>43131.13667824074</v>
      </c>
      <c r="C1298" t="n">
        <v>1</v>
      </c>
      <c r="D1298" t="n">
        <v>0</v>
      </c>
      <c r="E1298" t="s">
        <v>1309</v>
      </c>
      <c r="F1298" t="s"/>
      <c r="G1298" t="s"/>
      <c r="H1298" t="s"/>
      <c r="I1298" t="s"/>
      <c r="J1298" t="n">
        <v>0.2263</v>
      </c>
      <c r="K1298" t="n">
        <v>0</v>
      </c>
      <c r="L1298" t="n">
        <v>0.8080000000000001</v>
      </c>
      <c r="M1298" t="n">
        <v>0.192</v>
      </c>
    </row>
    <row r="1299" spans="1:13">
      <c r="A1299" s="1">
        <f>HYPERLINK("http://www.twitter.com/NathanBLawrence/status/958539092605665280", "958539092605665280")</f>
        <v/>
      </c>
      <c r="B1299" s="2" t="n">
        <v>43131.13545138889</v>
      </c>
      <c r="C1299" t="n">
        <v>0</v>
      </c>
      <c r="D1299" t="n">
        <v>0</v>
      </c>
      <c r="E1299" t="s">
        <v>1310</v>
      </c>
      <c r="F1299" t="s"/>
      <c r="G1299" t="s"/>
      <c r="H1299" t="s"/>
      <c r="I1299" t="s"/>
      <c r="J1299" t="n">
        <v>0.3182</v>
      </c>
      <c r="K1299" t="n">
        <v>0</v>
      </c>
      <c r="L1299" t="n">
        <v>0.723</v>
      </c>
      <c r="M1299" t="n">
        <v>0.277</v>
      </c>
    </row>
    <row r="1300" spans="1:13">
      <c r="A1300" s="1">
        <f>HYPERLINK("http://www.twitter.com/NathanBLawrence/status/958535902300655616", "958535902300655616")</f>
        <v/>
      </c>
      <c r="B1300" s="2" t="n">
        <v>43131.12664351852</v>
      </c>
      <c r="C1300" t="n">
        <v>1</v>
      </c>
      <c r="D1300" t="n">
        <v>0</v>
      </c>
      <c r="E1300" t="s">
        <v>1311</v>
      </c>
      <c r="F1300" t="s"/>
      <c r="G1300" t="s"/>
      <c r="H1300" t="s"/>
      <c r="I1300" t="s"/>
      <c r="J1300" t="n">
        <v>-0.8743</v>
      </c>
      <c r="K1300" t="n">
        <v>0.285</v>
      </c>
      <c r="L1300" t="n">
        <v>0.715</v>
      </c>
      <c r="M1300" t="n">
        <v>0</v>
      </c>
    </row>
    <row r="1301" spans="1:13">
      <c r="A1301" s="1">
        <f>HYPERLINK("http://www.twitter.com/NathanBLawrence/status/958533597971058688", "958533597971058688")</f>
        <v/>
      </c>
      <c r="B1301" s="2" t="n">
        <v>43131.12028935185</v>
      </c>
      <c r="C1301" t="n">
        <v>0</v>
      </c>
      <c r="D1301" t="n">
        <v>0</v>
      </c>
      <c r="E1301" t="s">
        <v>1312</v>
      </c>
      <c r="F1301" t="s"/>
      <c r="G1301" t="s"/>
      <c r="H1301" t="s"/>
      <c r="I1301" t="s"/>
      <c r="J1301" t="n">
        <v>0</v>
      </c>
      <c r="K1301" t="n">
        <v>0</v>
      </c>
      <c r="L1301" t="n">
        <v>1</v>
      </c>
      <c r="M1301" t="n">
        <v>0</v>
      </c>
    </row>
    <row r="1302" spans="1:13">
      <c r="A1302" s="1">
        <f>HYPERLINK("http://www.twitter.com/NathanBLawrence/status/958532451810402307", "958532451810402307")</f>
        <v/>
      </c>
      <c r="B1302" s="2" t="n">
        <v>43131.11711805555</v>
      </c>
      <c r="C1302" t="n">
        <v>0</v>
      </c>
      <c r="D1302" t="n">
        <v>19</v>
      </c>
      <c r="E1302" t="s">
        <v>1313</v>
      </c>
      <c r="F1302">
        <f>HYPERLINK("http://pbs.twimg.com/media/DU1kBsuX0AAUsPW.jpg", "http://pbs.twimg.com/media/DU1kBsuX0AAUsPW.jpg")</f>
        <v/>
      </c>
      <c r="G1302" t="s"/>
      <c r="H1302" t="s"/>
      <c r="I1302" t="s"/>
      <c r="J1302" t="n">
        <v>0</v>
      </c>
      <c r="K1302" t="n">
        <v>0</v>
      </c>
      <c r="L1302" t="n">
        <v>1</v>
      </c>
      <c r="M1302" t="n">
        <v>0</v>
      </c>
    </row>
    <row r="1303" spans="1:13">
      <c r="A1303" s="1">
        <f>HYPERLINK("http://www.twitter.com/NathanBLawrence/status/958532349955858433", "958532349955858433")</f>
        <v/>
      </c>
      <c r="B1303" s="2" t="n">
        <v>43131.11684027778</v>
      </c>
      <c r="C1303" t="n">
        <v>2</v>
      </c>
      <c r="D1303" t="n">
        <v>0</v>
      </c>
      <c r="E1303" t="s">
        <v>1314</v>
      </c>
      <c r="F1303" t="s"/>
      <c r="G1303" t="s"/>
      <c r="H1303" t="s"/>
      <c r="I1303" t="s"/>
      <c r="J1303" t="n">
        <v>0</v>
      </c>
      <c r="K1303" t="n">
        <v>0</v>
      </c>
      <c r="L1303" t="n">
        <v>1</v>
      </c>
      <c r="M1303" t="n">
        <v>0</v>
      </c>
    </row>
    <row r="1304" spans="1:13">
      <c r="A1304" s="1">
        <f>HYPERLINK("http://www.twitter.com/NathanBLawrence/status/958531824266989570", "958531824266989570")</f>
        <v/>
      </c>
      <c r="B1304" s="2" t="n">
        <v>43131.11539351852</v>
      </c>
      <c r="C1304" t="n">
        <v>0</v>
      </c>
      <c r="D1304" t="n">
        <v>12132</v>
      </c>
      <c r="E1304" t="s">
        <v>1315</v>
      </c>
      <c r="F1304" t="s"/>
      <c r="G1304" t="s"/>
      <c r="H1304" t="s"/>
      <c r="I1304" t="s"/>
      <c r="J1304" t="n">
        <v>0</v>
      </c>
      <c r="K1304" t="n">
        <v>0</v>
      </c>
      <c r="L1304" t="n">
        <v>1</v>
      </c>
      <c r="M1304" t="n">
        <v>0</v>
      </c>
    </row>
    <row r="1305" spans="1:13">
      <c r="A1305" s="1">
        <f>HYPERLINK("http://www.twitter.com/NathanBLawrence/status/958531035515539457", "958531035515539457")</f>
        <v/>
      </c>
      <c r="B1305" s="2" t="n">
        <v>43131.1132175926</v>
      </c>
      <c r="C1305" t="n">
        <v>0</v>
      </c>
      <c r="D1305" t="n">
        <v>0</v>
      </c>
      <c r="E1305" t="s">
        <v>1316</v>
      </c>
      <c r="F1305" t="s"/>
      <c r="G1305" t="s"/>
      <c r="H1305" t="s"/>
      <c r="I1305" t="s"/>
      <c r="J1305" t="n">
        <v>0</v>
      </c>
      <c r="K1305" t="n">
        <v>0</v>
      </c>
      <c r="L1305" t="n">
        <v>1</v>
      </c>
      <c r="M1305" t="n">
        <v>0</v>
      </c>
    </row>
    <row r="1306" spans="1:13">
      <c r="A1306" s="1">
        <f>HYPERLINK("http://www.twitter.com/NathanBLawrence/status/958530591128989696", "958530591128989696")</f>
        <v/>
      </c>
      <c r="B1306" s="2" t="n">
        <v>43131.11199074074</v>
      </c>
      <c r="C1306" t="n">
        <v>0</v>
      </c>
      <c r="D1306" t="n">
        <v>265</v>
      </c>
      <c r="E1306" t="s">
        <v>1317</v>
      </c>
      <c r="F1306" t="s"/>
      <c r="G1306" t="s"/>
      <c r="H1306" t="s"/>
      <c r="I1306" t="s"/>
      <c r="J1306" t="n">
        <v>-0.6705</v>
      </c>
      <c r="K1306" t="n">
        <v>0.224</v>
      </c>
      <c r="L1306" t="n">
        <v>0.776</v>
      </c>
      <c r="M1306" t="n">
        <v>0</v>
      </c>
    </row>
    <row r="1307" spans="1:13">
      <c r="A1307" s="1">
        <f>HYPERLINK("http://www.twitter.com/NathanBLawrence/status/958529560055861248", "958529560055861248")</f>
        <v/>
      </c>
      <c r="B1307" s="2" t="n">
        <v>43131.10914351852</v>
      </c>
      <c r="C1307" t="n">
        <v>0</v>
      </c>
      <c r="D1307" t="n">
        <v>0</v>
      </c>
      <c r="E1307" t="s">
        <v>1318</v>
      </c>
      <c r="F1307" t="s"/>
      <c r="G1307" t="s"/>
      <c r="H1307" t="s"/>
      <c r="I1307" t="s"/>
      <c r="J1307" t="n">
        <v>0</v>
      </c>
      <c r="K1307" t="n">
        <v>0</v>
      </c>
      <c r="L1307" t="n">
        <v>1</v>
      </c>
      <c r="M1307" t="n">
        <v>0</v>
      </c>
    </row>
    <row r="1308" spans="1:13">
      <c r="A1308" s="1">
        <f>HYPERLINK("http://www.twitter.com/NathanBLawrence/status/958529384738181120", "958529384738181120")</f>
        <v/>
      </c>
      <c r="B1308" s="2" t="n">
        <v>43131.10865740741</v>
      </c>
      <c r="C1308" t="n">
        <v>2</v>
      </c>
      <c r="D1308" t="n">
        <v>0</v>
      </c>
      <c r="E1308" t="s">
        <v>1319</v>
      </c>
      <c r="F1308" t="s"/>
      <c r="G1308" t="s"/>
      <c r="H1308" t="s"/>
      <c r="I1308" t="s"/>
      <c r="J1308" t="n">
        <v>-0.5719</v>
      </c>
      <c r="K1308" t="n">
        <v>0.252</v>
      </c>
      <c r="L1308" t="n">
        <v>0.748</v>
      </c>
      <c r="M1308" t="n">
        <v>0</v>
      </c>
    </row>
    <row r="1309" spans="1:13">
      <c r="A1309" s="1">
        <f>HYPERLINK("http://www.twitter.com/NathanBLawrence/status/958529152356896768", "958529152356896768")</f>
        <v/>
      </c>
      <c r="B1309" s="2" t="n">
        <v>43131.10802083334</v>
      </c>
      <c r="C1309" t="n">
        <v>0</v>
      </c>
      <c r="D1309" t="n">
        <v>6589</v>
      </c>
      <c r="E1309" t="s">
        <v>1320</v>
      </c>
      <c r="F1309" t="s"/>
      <c r="G1309" t="s"/>
      <c r="H1309" t="s"/>
      <c r="I1309" t="s"/>
      <c r="J1309" t="n">
        <v>-0.7351</v>
      </c>
      <c r="K1309" t="n">
        <v>0.294</v>
      </c>
      <c r="L1309" t="n">
        <v>0.613</v>
      </c>
      <c r="M1309" t="n">
        <v>0.094</v>
      </c>
    </row>
    <row r="1310" spans="1:13">
      <c r="A1310" s="1">
        <f>HYPERLINK("http://www.twitter.com/NathanBLawrence/status/958527766219108353", "958527766219108353")</f>
        <v/>
      </c>
      <c r="B1310" s="2" t="n">
        <v>43131.10418981482</v>
      </c>
      <c r="C1310" t="n">
        <v>2</v>
      </c>
      <c r="D1310" t="n">
        <v>1</v>
      </c>
      <c r="E1310" t="s">
        <v>1321</v>
      </c>
      <c r="F1310" t="s"/>
      <c r="G1310" t="s"/>
      <c r="H1310" t="s"/>
      <c r="I1310" t="s"/>
      <c r="J1310" t="n">
        <v>0.4585</v>
      </c>
      <c r="K1310" t="n">
        <v>0</v>
      </c>
      <c r="L1310" t="n">
        <v>0.75</v>
      </c>
      <c r="M1310" t="n">
        <v>0.25</v>
      </c>
    </row>
    <row r="1311" spans="1:13">
      <c r="A1311" s="1">
        <f>HYPERLINK("http://www.twitter.com/NathanBLawrence/status/958526318903250944", "958526318903250944")</f>
        <v/>
      </c>
      <c r="B1311" s="2" t="n">
        <v>43131.10019675926</v>
      </c>
      <c r="C1311" t="n">
        <v>0</v>
      </c>
      <c r="D1311" t="n">
        <v>0</v>
      </c>
      <c r="E1311" t="s">
        <v>1322</v>
      </c>
      <c r="F1311" t="s"/>
      <c r="G1311" t="s"/>
      <c r="H1311" t="s"/>
      <c r="I1311" t="s"/>
      <c r="J1311" t="n">
        <v>-0.4023</v>
      </c>
      <c r="K1311" t="n">
        <v>0.311</v>
      </c>
      <c r="L1311" t="n">
        <v>0.6889999999999999</v>
      </c>
      <c r="M1311" t="n">
        <v>0</v>
      </c>
    </row>
    <row r="1312" spans="1:13">
      <c r="A1312" s="1">
        <f>HYPERLINK("http://www.twitter.com/NathanBLawrence/status/958511104308776962", "958511104308776962")</f>
        <v/>
      </c>
      <c r="B1312" s="2" t="n">
        <v>43131.0582175926</v>
      </c>
      <c r="C1312" t="n">
        <v>2</v>
      </c>
      <c r="D1312" t="n">
        <v>0</v>
      </c>
      <c r="E1312" t="s">
        <v>1323</v>
      </c>
      <c r="F1312" t="s"/>
      <c r="G1312" t="s"/>
      <c r="H1312" t="s"/>
      <c r="I1312" t="s"/>
      <c r="J1312" t="n">
        <v>-0.5266999999999999</v>
      </c>
      <c r="K1312" t="n">
        <v>0.236</v>
      </c>
      <c r="L1312" t="n">
        <v>0.764</v>
      </c>
      <c r="M1312" t="n">
        <v>0</v>
      </c>
    </row>
    <row r="1313" spans="1:13">
      <c r="A1313" s="1">
        <f>HYPERLINK("http://www.twitter.com/NathanBLawrence/status/958500517558280193", "958500517558280193")</f>
        <v/>
      </c>
      <c r="B1313" s="2" t="n">
        <v>43131.02900462963</v>
      </c>
      <c r="C1313" t="n">
        <v>0</v>
      </c>
      <c r="D1313" t="n">
        <v>4</v>
      </c>
      <c r="E1313" t="s">
        <v>1324</v>
      </c>
      <c r="F1313" t="s"/>
      <c r="G1313" t="s"/>
      <c r="H1313" t="s"/>
      <c r="I1313" t="s"/>
      <c r="J1313" t="n">
        <v>-0.5994</v>
      </c>
      <c r="K1313" t="n">
        <v>0.281</v>
      </c>
      <c r="L1313" t="n">
        <v>0.719</v>
      </c>
      <c r="M1313" t="n">
        <v>0</v>
      </c>
    </row>
    <row r="1314" spans="1:13">
      <c r="A1314" s="1">
        <f>HYPERLINK("http://www.twitter.com/NathanBLawrence/status/958500499011104768", "958500499011104768")</f>
        <v/>
      </c>
      <c r="B1314" s="2" t="n">
        <v>43131.02894675926</v>
      </c>
      <c r="C1314" t="n">
        <v>0</v>
      </c>
      <c r="D1314" t="n">
        <v>0</v>
      </c>
      <c r="E1314" t="s">
        <v>1325</v>
      </c>
      <c r="F1314" t="s"/>
      <c r="G1314" t="s"/>
      <c r="H1314" t="s"/>
      <c r="I1314" t="s"/>
      <c r="J1314" t="n">
        <v>0.4404</v>
      </c>
      <c r="K1314" t="n">
        <v>0</v>
      </c>
      <c r="L1314" t="n">
        <v>0.633</v>
      </c>
      <c r="M1314" t="n">
        <v>0.367</v>
      </c>
    </row>
    <row r="1315" spans="1:13">
      <c r="A1315" s="1">
        <f>HYPERLINK("http://www.twitter.com/NathanBLawrence/status/958498640695357440", "958498640695357440")</f>
        <v/>
      </c>
      <c r="B1315" s="2" t="n">
        <v>43131.02381944445</v>
      </c>
      <c r="C1315" t="n">
        <v>0</v>
      </c>
      <c r="D1315" t="n">
        <v>0</v>
      </c>
      <c r="E1315" t="s">
        <v>1326</v>
      </c>
      <c r="F1315" t="s"/>
      <c r="G1315" t="s"/>
      <c r="H1315" t="s"/>
      <c r="I1315" t="s"/>
      <c r="J1315" t="n">
        <v>0.34</v>
      </c>
      <c r="K1315" t="n">
        <v>0</v>
      </c>
      <c r="L1315" t="n">
        <v>0.854</v>
      </c>
      <c r="M1315" t="n">
        <v>0.146</v>
      </c>
    </row>
    <row r="1316" spans="1:13">
      <c r="A1316" s="1">
        <f>HYPERLINK("http://www.twitter.com/NathanBLawrence/status/958454442814255104", "958454442814255104")</f>
        <v/>
      </c>
      <c r="B1316" s="2" t="n">
        <v>43130.90186342593</v>
      </c>
      <c r="C1316" t="n">
        <v>0</v>
      </c>
      <c r="D1316" t="n">
        <v>700</v>
      </c>
      <c r="E1316" t="s">
        <v>1327</v>
      </c>
      <c r="F1316">
        <f>HYPERLINK("http://pbs.twimg.com/media/DUzaObHUMAAAddl.jpg", "http://pbs.twimg.com/media/DUzaObHUMAAAddl.jpg")</f>
        <v/>
      </c>
      <c r="G1316" t="s"/>
      <c r="H1316" t="s"/>
      <c r="I1316" t="s"/>
      <c r="J1316" t="n">
        <v>0.1027</v>
      </c>
      <c r="K1316" t="n">
        <v>0.111</v>
      </c>
      <c r="L1316" t="n">
        <v>0.763</v>
      </c>
      <c r="M1316" t="n">
        <v>0.126</v>
      </c>
    </row>
    <row r="1317" spans="1:13">
      <c r="A1317" s="1">
        <f>HYPERLINK("http://www.twitter.com/NathanBLawrence/status/958454286253481986", "958454286253481986")</f>
        <v/>
      </c>
      <c r="B1317" s="2" t="n">
        <v>43130.90142361111</v>
      </c>
      <c r="C1317" t="n">
        <v>0</v>
      </c>
      <c r="D1317" t="n">
        <v>0</v>
      </c>
      <c r="E1317" t="s">
        <v>1328</v>
      </c>
      <c r="F1317" t="s"/>
      <c r="G1317" t="s"/>
      <c r="H1317" t="s"/>
      <c r="I1317" t="s"/>
      <c r="J1317" t="n">
        <v>0.5719</v>
      </c>
      <c r="K1317" t="n">
        <v>0</v>
      </c>
      <c r="L1317" t="n">
        <v>0.5610000000000001</v>
      </c>
      <c r="M1317" t="n">
        <v>0.439</v>
      </c>
    </row>
    <row r="1318" spans="1:13">
      <c r="A1318" s="1">
        <f>HYPERLINK("http://www.twitter.com/NathanBLawrence/status/958436999656103936", "958436999656103936")</f>
        <v/>
      </c>
      <c r="B1318" s="2" t="n">
        <v>43130.85372685185</v>
      </c>
      <c r="C1318" t="n">
        <v>3</v>
      </c>
      <c r="D1318" t="n">
        <v>0</v>
      </c>
      <c r="E1318" t="s">
        <v>1329</v>
      </c>
      <c r="F1318" t="s"/>
      <c r="G1318" t="s"/>
      <c r="H1318" t="s"/>
      <c r="I1318" t="s"/>
      <c r="J1318" t="n">
        <v>0</v>
      </c>
      <c r="K1318" t="n">
        <v>0</v>
      </c>
      <c r="L1318" t="n">
        <v>1</v>
      </c>
      <c r="M1318" t="n">
        <v>0</v>
      </c>
    </row>
    <row r="1319" spans="1:13">
      <c r="A1319" s="1">
        <f>HYPERLINK("http://www.twitter.com/NathanBLawrence/status/958416584221036544", "958416584221036544")</f>
        <v/>
      </c>
      <c r="B1319" s="2" t="n">
        <v>43130.79738425926</v>
      </c>
      <c r="C1319" t="n">
        <v>1</v>
      </c>
      <c r="D1319" t="n">
        <v>0</v>
      </c>
      <c r="E1319" t="s">
        <v>1330</v>
      </c>
      <c r="F1319" t="s"/>
      <c r="G1319" t="s"/>
      <c r="H1319" t="s"/>
      <c r="I1319" t="s"/>
      <c r="J1319" t="n">
        <v>0.7964</v>
      </c>
      <c r="K1319" t="n">
        <v>0</v>
      </c>
      <c r="L1319" t="n">
        <v>0.608</v>
      </c>
      <c r="M1319" t="n">
        <v>0.392</v>
      </c>
    </row>
    <row r="1320" spans="1:13">
      <c r="A1320" s="1">
        <f>HYPERLINK("http://www.twitter.com/NathanBLawrence/status/958403731409768451", "958403731409768451")</f>
        <v/>
      </c>
      <c r="B1320" s="2" t="n">
        <v>43130.7619212963</v>
      </c>
      <c r="C1320" t="n">
        <v>0</v>
      </c>
      <c r="D1320" t="n">
        <v>11082</v>
      </c>
      <c r="E1320" t="s">
        <v>1331</v>
      </c>
      <c r="F1320" t="s"/>
      <c r="G1320" t="s"/>
      <c r="H1320" t="s"/>
      <c r="I1320" t="s"/>
      <c r="J1320" t="n">
        <v>0</v>
      </c>
      <c r="K1320" t="n">
        <v>0</v>
      </c>
      <c r="L1320" t="n">
        <v>1</v>
      </c>
      <c r="M1320" t="n">
        <v>0</v>
      </c>
    </row>
    <row r="1321" spans="1:13">
      <c r="A1321" s="1">
        <f>HYPERLINK("http://www.twitter.com/NathanBLawrence/status/958394062373048321", "958394062373048321")</f>
        <v/>
      </c>
      <c r="B1321" s="2" t="n">
        <v>43130.73524305555</v>
      </c>
      <c r="C1321" t="n">
        <v>0</v>
      </c>
      <c r="D1321" t="n">
        <v>0</v>
      </c>
      <c r="E1321" t="s">
        <v>1332</v>
      </c>
      <c r="F1321" t="s"/>
      <c r="G1321" t="s"/>
      <c r="H1321" t="s"/>
      <c r="I1321" t="s"/>
      <c r="J1321" t="n">
        <v>0</v>
      </c>
      <c r="K1321" t="n">
        <v>0</v>
      </c>
      <c r="L1321" t="n">
        <v>1</v>
      </c>
      <c r="M1321" t="n">
        <v>0</v>
      </c>
    </row>
    <row r="1322" spans="1:13">
      <c r="A1322" s="1">
        <f>HYPERLINK("http://www.twitter.com/NathanBLawrence/status/958354623567486977", "958354623567486977")</f>
        <v/>
      </c>
      <c r="B1322" s="2" t="n">
        <v>43130.62641203704</v>
      </c>
      <c r="C1322" t="n">
        <v>0</v>
      </c>
      <c r="D1322" t="n">
        <v>1070</v>
      </c>
      <c r="E1322" t="s">
        <v>1333</v>
      </c>
      <c r="F1322" t="s"/>
      <c r="G1322" t="s"/>
      <c r="H1322" t="s"/>
      <c r="I1322" t="s"/>
      <c r="J1322" t="n">
        <v>0</v>
      </c>
      <c r="K1322" t="n">
        <v>0</v>
      </c>
      <c r="L1322" t="n">
        <v>1</v>
      </c>
      <c r="M1322" t="n">
        <v>0</v>
      </c>
    </row>
    <row r="1323" spans="1:13">
      <c r="A1323" s="1">
        <f>HYPERLINK("http://www.twitter.com/NathanBLawrence/status/958345925445013505", "958345925445013505")</f>
        <v/>
      </c>
      <c r="B1323" s="2" t="n">
        <v>43130.60240740741</v>
      </c>
      <c r="C1323" t="n">
        <v>1</v>
      </c>
      <c r="D1323" t="n">
        <v>0</v>
      </c>
      <c r="E1323" t="s">
        <v>1334</v>
      </c>
      <c r="F1323" t="s"/>
      <c r="G1323" t="s"/>
      <c r="H1323" t="s"/>
      <c r="I1323" t="s"/>
      <c r="J1323" t="n">
        <v>0.6369</v>
      </c>
      <c r="K1323" t="n">
        <v>0</v>
      </c>
      <c r="L1323" t="n">
        <v>0.656</v>
      </c>
      <c r="M1323" t="n">
        <v>0.344</v>
      </c>
    </row>
    <row r="1324" spans="1:13">
      <c r="A1324" s="1">
        <f>HYPERLINK("http://www.twitter.com/NathanBLawrence/status/958300608070635520", "958300608070635520")</f>
        <v/>
      </c>
      <c r="B1324" s="2" t="n">
        <v>43130.47734953704</v>
      </c>
      <c r="C1324" t="n">
        <v>0</v>
      </c>
      <c r="D1324" t="n">
        <v>0</v>
      </c>
      <c r="E1324" t="s">
        <v>1335</v>
      </c>
      <c r="F1324" t="s"/>
      <c r="G1324" t="s"/>
      <c r="H1324" t="s"/>
      <c r="I1324" t="s"/>
      <c r="J1324" t="n">
        <v>0</v>
      </c>
      <c r="K1324" t="n">
        <v>0</v>
      </c>
      <c r="L1324" t="n">
        <v>1</v>
      </c>
      <c r="M1324" t="n">
        <v>0</v>
      </c>
    </row>
    <row r="1325" spans="1:13">
      <c r="A1325" s="1">
        <f>HYPERLINK("http://www.twitter.com/NathanBLawrence/status/958182993427869696", "958182993427869696")</f>
        <v/>
      </c>
      <c r="B1325" s="2" t="n">
        <v>43130.15280092593</v>
      </c>
      <c r="C1325" t="n">
        <v>0</v>
      </c>
      <c r="D1325" t="n">
        <v>0</v>
      </c>
      <c r="E1325" t="s">
        <v>1336</v>
      </c>
      <c r="F1325" t="s"/>
      <c r="G1325" t="s"/>
      <c r="H1325" t="s"/>
      <c r="I1325" t="s"/>
      <c r="J1325" t="n">
        <v>0.6124000000000001</v>
      </c>
      <c r="K1325" t="n">
        <v>0</v>
      </c>
      <c r="L1325" t="n">
        <v>0.6879999999999999</v>
      </c>
      <c r="M1325" t="n">
        <v>0.312</v>
      </c>
    </row>
    <row r="1326" spans="1:13">
      <c r="A1326" s="1">
        <f>HYPERLINK("http://www.twitter.com/NathanBLawrence/status/958178286819037185", "958178286819037185")</f>
        <v/>
      </c>
      <c r="B1326" s="2" t="n">
        <v>43130.13981481481</v>
      </c>
      <c r="C1326" t="n">
        <v>1</v>
      </c>
      <c r="D1326" t="n">
        <v>0</v>
      </c>
      <c r="E1326" t="s">
        <v>1337</v>
      </c>
      <c r="F1326" t="s"/>
      <c r="G1326" t="s"/>
      <c r="H1326" t="s"/>
      <c r="I1326" t="s"/>
      <c r="J1326" t="n">
        <v>0.4404</v>
      </c>
      <c r="K1326" t="n">
        <v>0</v>
      </c>
      <c r="L1326" t="n">
        <v>0.633</v>
      </c>
      <c r="M1326" t="n">
        <v>0.367</v>
      </c>
    </row>
    <row r="1327" spans="1:13">
      <c r="A1327" s="1">
        <f>HYPERLINK("http://www.twitter.com/NathanBLawrence/status/958177808844578816", "958177808844578816")</f>
        <v/>
      </c>
      <c r="B1327" s="2" t="n">
        <v>43130.13849537037</v>
      </c>
      <c r="C1327" t="n">
        <v>0</v>
      </c>
      <c r="D1327" t="n">
        <v>0</v>
      </c>
      <c r="E1327" t="s">
        <v>1338</v>
      </c>
      <c r="F1327" t="s"/>
      <c r="G1327" t="s"/>
      <c r="H1327" t="s"/>
      <c r="I1327" t="s"/>
      <c r="J1327" t="n">
        <v>0.6213</v>
      </c>
      <c r="K1327" t="n">
        <v>0</v>
      </c>
      <c r="L1327" t="n">
        <v>0.632</v>
      </c>
      <c r="M1327" t="n">
        <v>0.368</v>
      </c>
    </row>
    <row r="1328" spans="1:13">
      <c r="A1328" s="1">
        <f>HYPERLINK("http://www.twitter.com/NathanBLawrence/status/958171635223351297", "958171635223351297")</f>
        <v/>
      </c>
      <c r="B1328" s="2" t="n">
        <v>43130.12145833333</v>
      </c>
      <c r="C1328" t="n">
        <v>1</v>
      </c>
      <c r="D1328" t="n">
        <v>0</v>
      </c>
      <c r="E1328" t="s">
        <v>1339</v>
      </c>
      <c r="F1328" t="s"/>
      <c r="G1328" t="s"/>
      <c r="H1328" t="s"/>
      <c r="I1328" t="s"/>
      <c r="J1328" t="n">
        <v>0</v>
      </c>
      <c r="K1328" t="n">
        <v>0</v>
      </c>
      <c r="L1328" t="n">
        <v>1</v>
      </c>
      <c r="M1328" t="n">
        <v>0</v>
      </c>
    </row>
    <row r="1329" spans="1:13">
      <c r="A1329" s="1">
        <f>HYPERLINK("http://www.twitter.com/NathanBLawrence/status/958157591871401984", "958157591871401984")</f>
        <v/>
      </c>
      <c r="B1329" s="2" t="n">
        <v>43130.08270833334</v>
      </c>
      <c r="C1329" t="n">
        <v>1</v>
      </c>
      <c r="D1329" t="n">
        <v>0</v>
      </c>
      <c r="E1329" t="s">
        <v>1340</v>
      </c>
      <c r="F1329" t="s"/>
      <c r="G1329" t="s"/>
      <c r="H1329" t="s"/>
      <c r="I1329" t="s"/>
      <c r="J1329" t="n">
        <v>0</v>
      </c>
      <c r="K1329" t="n">
        <v>0</v>
      </c>
      <c r="L1329" t="n">
        <v>1</v>
      </c>
      <c r="M1329" t="n">
        <v>0</v>
      </c>
    </row>
    <row r="1330" spans="1:13">
      <c r="A1330" s="1">
        <f>HYPERLINK("http://www.twitter.com/NathanBLawrence/status/958143724760043520", "958143724760043520")</f>
        <v/>
      </c>
      <c r="B1330" s="2" t="n">
        <v>43130.04444444444</v>
      </c>
      <c r="C1330" t="n">
        <v>2</v>
      </c>
      <c r="D1330" t="n">
        <v>0</v>
      </c>
      <c r="E1330" t="s">
        <v>1341</v>
      </c>
      <c r="F1330" t="s"/>
      <c r="G1330" t="s"/>
      <c r="H1330" t="s"/>
      <c r="I1330" t="s"/>
      <c r="J1330" t="n">
        <v>0.5673</v>
      </c>
      <c r="K1330" t="n">
        <v>0</v>
      </c>
      <c r="L1330" t="n">
        <v>0.45</v>
      </c>
      <c r="M1330" t="n">
        <v>0.55</v>
      </c>
    </row>
    <row r="1331" spans="1:13">
      <c r="A1331" s="1">
        <f>HYPERLINK("http://www.twitter.com/NathanBLawrence/status/958127216969306112", "958127216969306112")</f>
        <v/>
      </c>
      <c r="B1331" s="2" t="n">
        <v>43129.99888888889</v>
      </c>
      <c r="C1331" t="n">
        <v>0</v>
      </c>
      <c r="D1331" t="n">
        <v>0</v>
      </c>
      <c r="E1331" t="s">
        <v>1342</v>
      </c>
      <c r="F1331" t="s"/>
      <c r="G1331" t="s"/>
      <c r="H1331" t="s"/>
      <c r="I1331" t="s"/>
      <c r="J1331" t="n">
        <v>0.6093</v>
      </c>
      <c r="K1331" t="n">
        <v>0</v>
      </c>
      <c r="L1331" t="n">
        <v>0.716</v>
      </c>
      <c r="M1331" t="n">
        <v>0.284</v>
      </c>
    </row>
    <row r="1332" spans="1:13">
      <c r="A1332" s="1">
        <f>HYPERLINK("http://www.twitter.com/NathanBLawrence/status/958118478376062976", "958118478376062976")</f>
        <v/>
      </c>
      <c r="B1332" s="2" t="n">
        <v>43129.97476851852</v>
      </c>
      <c r="C1332" t="n">
        <v>0</v>
      </c>
      <c r="D1332" t="n">
        <v>4</v>
      </c>
      <c r="E1332" t="s">
        <v>1343</v>
      </c>
      <c r="F1332" t="s"/>
      <c r="G1332" t="s"/>
      <c r="H1332" t="s"/>
      <c r="I1332" t="s"/>
      <c r="J1332" t="n">
        <v>0</v>
      </c>
      <c r="K1332" t="n">
        <v>0</v>
      </c>
      <c r="L1332" t="n">
        <v>1</v>
      </c>
      <c r="M1332" t="n">
        <v>0</v>
      </c>
    </row>
    <row r="1333" spans="1:13">
      <c r="A1333" s="1">
        <f>HYPERLINK("http://www.twitter.com/NathanBLawrence/status/958118344271515648", "958118344271515648")</f>
        <v/>
      </c>
      <c r="B1333" s="2" t="n">
        <v>43129.97439814815</v>
      </c>
      <c r="C1333" t="n">
        <v>0</v>
      </c>
      <c r="D1333" t="n">
        <v>0</v>
      </c>
      <c r="E1333" t="s">
        <v>1344</v>
      </c>
      <c r="F1333" t="s"/>
      <c r="G1333" t="s"/>
      <c r="H1333" t="s"/>
      <c r="I1333" t="s"/>
      <c r="J1333" t="n">
        <v>0</v>
      </c>
      <c r="K1333" t="n">
        <v>0</v>
      </c>
      <c r="L1333" t="n">
        <v>1</v>
      </c>
      <c r="M1333" t="n">
        <v>0</v>
      </c>
    </row>
    <row r="1334" spans="1:13">
      <c r="A1334" s="1">
        <f>HYPERLINK("http://www.twitter.com/NathanBLawrence/status/958114282985705473", "958114282985705473")</f>
        <v/>
      </c>
      <c r="B1334" s="2" t="n">
        <v>43129.96319444444</v>
      </c>
      <c r="C1334" t="n">
        <v>0</v>
      </c>
      <c r="D1334" t="n">
        <v>2187</v>
      </c>
      <c r="E1334" t="s">
        <v>1345</v>
      </c>
      <c r="F1334" t="s"/>
      <c r="G1334" t="s"/>
      <c r="H1334" t="s"/>
      <c r="I1334" t="s"/>
      <c r="J1334" t="n">
        <v>-0.5719</v>
      </c>
      <c r="K1334" t="n">
        <v>0.198</v>
      </c>
      <c r="L1334" t="n">
        <v>0.802</v>
      </c>
      <c r="M1334" t="n">
        <v>0</v>
      </c>
    </row>
    <row r="1335" spans="1:13">
      <c r="A1335" s="1">
        <f>HYPERLINK("http://www.twitter.com/NathanBLawrence/status/958113611687321601", "958113611687321601")</f>
        <v/>
      </c>
      <c r="B1335" s="2" t="n">
        <v>43129.96134259259</v>
      </c>
      <c r="C1335" t="n">
        <v>0</v>
      </c>
      <c r="D1335" t="n">
        <v>71</v>
      </c>
      <c r="E1335" t="s">
        <v>1346</v>
      </c>
      <c r="F1335" t="s"/>
      <c r="G1335" t="s"/>
      <c r="H1335" t="s"/>
      <c r="I1335" t="s"/>
      <c r="J1335" t="n">
        <v>-0.2023</v>
      </c>
      <c r="K1335" t="n">
        <v>0.139</v>
      </c>
      <c r="L1335" t="n">
        <v>0.756</v>
      </c>
      <c r="M1335" t="n">
        <v>0.105</v>
      </c>
    </row>
    <row r="1336" spans="1:13">
      <c r="A1336" s="1">
        <f>HYPERLINK("http://www.twitter.com/NathanBLawrence/status/958084921477795840", "958084921477795840")</f>
        <v/>
      </c>
      <c r="B1336" s="2" t="n">
        <v>43129.88217592592</v>
      </c>
      <c r="C1336" t="n">
        <v>14</v>
      </c>
      <c r="D1336" t="n">
        <v>0</v>
      </c>
      <c r="E1336" t="s">
        <v>1347</v>
      </c>
      <c r="F1336" t="s"/>
      <c r="G1336" t="s"/>
      <c r="H1336" t="s"/>
      <c r="I1336" t="s"/>
      <c r="J1336" t="n">
        <v>-0.4724</v>
      </c>
      <c r="K1336" t="n">
        <v>0.339</v>
      </c>
      <c r="L1336" t="n">
        <v>0.661</v>
      </c>
      <c r="M1336" t="n">
        <v>0</v>
      </c>
    </row>
    <row r="1337" spans="1:13">
      <c r="A1337" s="1">
        <f>HYPERLINK("http://www.twitter.com/NathanBLawrence/status/958057962232311809", "958057962232311809")</f>
        <v/>
      </c>
      <c r="B1337" s="2" t="n">
        <v>43129.80777777778</v>
      </c>
      <c r="C1337" t="n">
        <v>0</v>
      </c>
      <c r="D1337" t="n">
        <v>13144</v>
      </c>
      <c r="E1337" t="s">
        <v>1348</v>
      </c>
      <c r="F1337" t="s"/>
      <c r="G1337" t="s"/>
      <c r="H1337" t="s"/>
      <c r="I1337" t="s"/>
      <c r="J1337" t="n">
        <v>0</v>
      </c>
      <c r="K1337" t="n">
        <v>0</v>
      </c>
      <c r="L1337" t="n">
        <v>1</v>
      </c>
      <c r="M1337" t="n">
        <v>0</v>
      </c>
    </row>
    <row r="1338" spans="1:13">
      <c r="A1338" s="1">
        <f>HYPERLINK("http://www.twitter.com/NathanBLawrence/status/958044954449805314", "958044954449805314")</f>
        <v/>
      </c>
      <c r="B1338" s="2" t="n">
        <v>43129.77188657408</v>
      </c>
      <c r="C1338" t="n">
        <v>0</v>
      </c>
      <c r="D1338" t="n">
        <v>0</v>
      </c>
      <c r="E1338" t="s">
        <v>1349</v>
      </c>
      <c r="F1338" t="s"/>
      <c r="G1338" t="s"/>
      <c r="H1338" t="s"/>
      <c r="I1338" t="s"/>
      <c r="J1338" t="n">
        <v>0</v>
      </c>
      <c r="K1338" t="n">
        <v>0</v>
      </c>
      <c r="L1338" t="n">
        <v>1</v>
      </c>
      <c r="M1338" t="n">
        <v>0</v>
      </c>
    </row>
    <row r="1339" spans="1:13">
      <c r="A1339" s="1">
        <f>HYPERLINK("http://www.twitter.com/NathanBLawrence/status/958040158443638785", "958040158443638785")</f>
        <v/>
      </c>
      <c r="B1339" s="2" t="n">
        <v>43129.75864583333</v>
      </c>
      <c r="C1339" t="n">
        <v>1</v>
      </c>
      <c r="D1339" t="n">
        <v>0</v>
      </c>
      <c r="E1339" t="s">
        <v>1350</v>
      </c>
      <c r="F1339" t="s"/>
      <c r="G1339" t="s"/>
      <c r="H1339" t="s"/>
      <c r="I1339" t="s"/>
      <c r="J1339" t="n">
        <v>0.508</v>
      </c>
      <c r="K1339" t="n">
        <v>0</v>
      </c>
      <c r="L1339" t="n">
        <v>0.753</v>
      </c>
      <c r="M1339" t="n">
        <v>0.247</v>
      </c>
    </row>
    <row r="1340" spans="1:13">
      <c r="A1340" s="1">
        <f>HYPERLINK("http://www.twitter.com/NathanBLawrence/status/957967742161883136", "957967742161883136")</f>
        <v/>
      </c>
      <c r="B1340" s="2" t="n">
        <v>43129.55881944444</v>
      </c>
      <c r="C1340" t="n">
        <v>2</v>
      </c>
      <c r="D1340" t="n">
        <v>2</v>
      </c>
      <c r="E1340" t="s">
        <v>1351</v>
      </c>
      <c r="F1340" t="s"/>
      <c r="G1340" t="s"/>
      <c r="H1340" t="s"/>
      <c r="I1340" t="s"/>
      <c r="J1340" t="n">
        <v>0</v>
      </c>
      <c r="K1340" t="n">
        <v>0</v>
      </c>
      <c r="L1340" t="n">
        <v>1</v>
      </c>
      <c r="M1340" t="n">
        <v>0</v>
      </c>
    </row>
    <row r="1341" spans="1:13">
      <c r="A1341" s="1">
        <f>HYPERLINK("http://www.twitter.com/NathanBLawrence/status/957819441475039232", "957819441475039232")</f>
        <v/>
      </c>
      <c r="B1341" s="2" t="n">
        <v>43129.14958333333</v>
      </c>
      <c r="C1341" t="n">
        <v>0</v>
      </c>
      <c r="D1341" t="n">
        <v>3561</v>
      </c>
      <c r="E1341" t="s">
        <v>1352</v>
      </c>
      <c r="F1341">
        <f>HYPERLINK("http://pbs.twimg.com/media/DUqiXnOU0AAAOtw.jpg", "http://pbs.twimg.com/media/DUqiXnOU0AAAOtw.jpg")</f>
        <v/>
      </c>
      <c r="G1341" t="s"/>
      <c r="H1341" t="s"/>
      <c r="I1341" t="s"/>
      <c r="J1341" t="n">
        <v>-0.3595</v>
      </c>
      <c r="K1341" t="n">
        <v>0.207</v>
      </c>
      <c r="L1341" t="n">
        <v>0.679</v>
      </c>
      <c r="M1341" t="n">
        <v>0.113</v>
      </c>
    </row>
    <row r="1342" spans="1:13">
      <c r="A1342" s="1">
        <f>HYPERLINK("http://www.twitter.com/NathanBLawrence/status/957718403892031489", "957718403892031489")</f>
        <v/>
      </c>
      <c r="B1342" s="2" t="n">
        <v>43128.87077546296</v>
      </c>
      <c r="C1342" t="n">
        <v>0</v>
      </c>
      <c r="D1342" t="n">
        <v>0</v>
      </c>
      <c r="E1342" t="s">
        <v>1353</v>
      </c>
      <c r="F1342" t="s"/>
      <c r="G1342" t="s"/>
      <c r="H1342" t="s"/>
      <c r="I1342" t="s"/>
      <c r="J1342" t="n">
        <v>0</v>
      </c>
      <c r="K1342" t="n">
        <v>0</v>
      </c>
      <c r="L1342" t="n">
        <v>1</v>
      </c>
      <c r="M1342" t="n">
        <v>0</v>
      </c>
    </row>
    <row r="1343" spans="1:13">
      <c r="A1343" s="1">
        <f>HYPERLINK("http://www.twitter.com/NathanBLawrence/status/957698914148339712", "957698914148339712")</f>
        <v/>
      </c>
      <c r="B1343" s="2" t="n">
        <v>43128.81699074074</v>
      </c>
      <c r="C1343" t="n">
        <v>0</v>
      </c>
      <c r="D1343" t="n">
        <v>58</v>
      </c>
      <c r="E1343" t="s">
        <v>1354</v>
      </c>
      <c r="F1343" t="s"/>
      <c r="G1343" t="s"/>
      <c r="H1343" t="s"/>
      <c r="I1343" t="s"/>
      <c r="J1343" t="n">
        <v>-0.4019</v>
      </c>
      <c r="K1343" t="n">
        <v>0.125</v>
      </c>
      <c r="L1343" t="n">
        <v>0.8169999999999999</v>
      </c>
      <c r="M1343" t="n">
        <v>0.058</v>
      </c>
    </row>
    <row r="1344" spans="1:13">
      <c r="A1344" s="1">
        <f>HYPERLINK("http://www.twitter.com/NathanBLawrence/status/957697626127904769", "957697626127904769")</f>
        <v/>
      </c>
      <c r="B1344" s="2" t="n">
        <v>43128.8134375</v>
      </c>
      <c r="C1344" t="n">
        <v>0</v>
      </c>
      <c r="D1344" t="n">
        <v>0</v>
      </c>
      <c r="E1344" t="s">
        <v>1355</v>
      </c>
      <c r="F1344" t="s"/>
      <c r="G1344" t="s"/>
      <c r="H1344" t="s"/>
      <c r="I1344" t="s"/>
      <c r="J1344" t="n">
        <v>-0.2416</v>
      </c>
      <c r="K1344" t="n">
        <v>0.077</v>
      </c>
      <c r="L1344" t="n">
        <v>0.875</v>
      </c>
      <c r="M1344" t="n">
        <v>0.048</v>
      </c>
    </row>
    <row r="1345" spans="1:13">
      <c r="A1345" s="1">
        <f>HYPERLINK("http://www.twitter.com/NathanBLawrence/status/957695222401683456", "957695222401683456")</f>
        <v/>
      </c>
      <c r="B1345" s="2" t="n">
        <v>43128.80680555556</v>
      </c>
      <c r="C1345" t="n">
        <v>0</v>
      </c>
      <c r="D1345" t="n">
        <v>0</v>
      </c>
      <c r="E1345" t="s">
        <v>1356</v>
      </c>
      <c r="F1345" t="s"/>
      <c r="G1345" t="s"/>
      <c r="H1345" t="s"/>
      <c r="I1345" t="s"/>
      <c r="J1345" t="n">
        <v>0.296</v>
      </c>
      <c r="K1345" t="n">
        <v>0.07099999999999999</v>
      </c>
      <c r="L1345" t="n">
        <v>0.8159999999999999</v>
      </c>
      <c r="M1345" t="n">
        <v>0.112</v>
      </c>
    </row>
    <row r="1346" spans="1:13">
      <c r="A1346" s="1">
        <f>HYPERLINK("http://www.twitter.com/NathanBLawrence/status/957693712737415168", "957693712737415168")</f>
        <v/>
      </c>
      <c r="B1346" s="2" t="n">
        <v>43128.80263888889</v>
      </c>
      <c r="C1346" t="n">
        <v>0</v>
      </c>
      <c r="D1346" t="n">
        <v>0</v>
      </c>
      <c r="E1346" t="s">
        <v>1357</v>
      </c>
      <c r="F1346" t="s"/>
      <c r="G1346" t="s"/>
      <c r="H1346" t="s"/>
      <c r="I1346" t="s"/>
      <c r="J1346" t="n">
        <v>-0.6486</v>
      </c>
      <c r="K1346" t="n">
        <v>0.208</v>
      </c>
      <c r="L1346" t="n">
        <v>0.792</v>
      </c>
      <c r="M1346" t="n">
        <v>0</v>
      </c>
    </row>
    <row r="1347" spans="1:13">
      <c r="A1347" s="1">
        <f>HYPERLINK("http://www.twitter.com/NathanBLawrence/status/957664736354668546", "957664736354668546")</f>
        <v/>
      </c>
      <c r="B1347" s="2" t="n">
        <v>43128.72268518519</v>
      </c>
      <c r="C1347" t="n">
        <v>0</v>
      </c>
      <c r="D1347" t="n">
        <v>0</v>
      </c>
      <c r="E1347" t="s">
        <v>1358</v>
      </c>
      <c r="F1347" t="s"/>
      <c r="G1347" t="s"/>
      <c r="H1347" t="s"/>
      <c r="I1347" t="s"/>
      <c r="J1347" t="n">
        <v>0.4404</v>
      </c>
      <c r="K1347" t="n">
        <v>0</v>
      </c>
      <c r="L1347" t="n">
        <v>0.633</v>
      </c>
      <c r="M1347" t="n">
        <v>0.367</v>
      </c>
    </row>
    <row r="1348" spans="1:13">
      <c r="A1348" s="1">
        <f>HYPERLINK("http://www.twitter.com/NathanBLawrence/status/957664335609974784", "957664335609974784")</f>
        <v/>
      </c>
      <c r="B1348" s="2" t="n">
        <v>43128.72157407407</v>
      </c>
      <c r="C1348" t="n">
        <v>0</v>
      </c>
      <c r="D1348" t="n">
        <v>0</v>
      </c>
      <c r="E1348" t="s">
        <v>1359</v>
      </c>
      <c r="F1348" t="s"/>
      <c r="G1348" t="s"/>
      <c r="H1348" t="s"/>
      <c r="I1348" t="s"/>
      <c r="J1348" t="n">
        <v>-0.6879999999999999</v>
      </c>
      <c r="K1348" t="n">
        <v>0.334</v>
      </c>
      <c r="L1348" t="n">
        <v>0.479</v>
      </c>
      <c r="M1348" t="n">
        <v>0.187</v>
      </c>
    </row>
    <row r="1349" spans="1:13">
      <c r="A1349" s="1">
        <f>HYPERLINK("http://www.twitter.com/NathanBLawrence/status/957663689771020288", "957663689771020288")</f>
        <v/>
      </c>
      <c r="B1349" s="2" t="n">
        <v>43128.71979166667</v>
      </c>
      <c r="C1349" t="n">
        <v>0</v>
      </c>
      <c r="D1349" t="n">
        <v>0</v>
      </c>
      <c r="E1349" t="s">
        <v>1360</v>
      </c>
      <c r="F1349" t="s"/>
      <c r="G1349" t="s"/>
      <c r="H1349" t="s"/>
      <c r="I1349" t="s"/>
      <c r="J1349" t="n">
        <v>0</v>
      </c>
      <c r="K1349" t="n">
        <v>0</v>
      </c>
      <c r="L1349" t="n">
        <v>1</v>
      </c>
      <c r="M1349" t="n">
        <v>0</v>
      </c>
    </row>
    <row r="1350" spans="1:13">
      <c r="A1350" s="1">
        <f>HYPERLINK("http://www.twitter.com/NathanBLawrence/status/957663399344857088", "957663399344857088")</f>
        <v/>
      </c>
      <c r="B1350" s="2" t="n">
        <v>43128.71899305555</v>
      </c>
      <c r="C1350" t="n">
        <v>0</v>
      </c>
      <c r="D1350" t="n">
        <v>0</v>
      </c>
      <c r="E1350" t="s">
        <v>1361</v>
      </c>
      <c r="F1350" t="s"/>
      <c r="G1350" t="s"/>
      <c r="H1350" t="s"/>
      <c r="I1350" t="s"/>
      <c r="J1350" t="n">
        <v>0</v>
      </c>
      <c r="K1350" t="n">
        <v>0</v>
      </c>
      <c r="L1350" t="n">
        <v>1</v>
      </c>
      <c r="M1350" t="n">
        <v>0</v>
      </c>
    </row>
    <row r="1351" spans="1:13">
      <c r="A1351" s="1">
        <f>HYPERLINK("http://www.twitter.com/NathanBLawrence/status/957631669552472065", "957631669552472065")</f>
        <v/>
      </c>
      <c r="B1351" s="2" t="n">
        <v>43128.63143518518</v>
      </c>
      <c r="C1351" t="n">
        <v>0</v>
      </c>
      <c r="D1351" t="n">
        <v>61813</v>
      </c>
      <c r="E1351" t="s">
        <v>1362</v>
      </c>
      <c r="F1351" t="s"/>
      <c r="G1351" t="s"/>
      <c r="H1351" t="s"/>
      <c r="I1351" t="s"/>
      <c r="J1351" t="n">
        <v>-0.1531</v>
      </c>
      <c r="K1351" t="n">
        <v>0.115</v>
      </c>
      <c r="L1351" t="n">
        <v>0.794</v>
      </c>
      <c r="M1351" t="n">
        <v>0.091</v>
      </c>
    </row>
    <row r="1352" spans="1:13">
      <c r="A1352" s="1">
        <f>HYPERLINK("http://www.twitter.com/NathanBLawrence/status/957470971132305414", "957470971132305414")</f>
        <v/>
      </c>
      <c r="B1352" s="2" t="n">
        <v>43128.18799768519</v>
      </c>
      <c r="C1352" t="n">
        <v>0</v>
      </c>
      <c r="D1352" t="n">
        <v>3172</v>
      </c>
      <c r="E1352" t="s">
        <v>1363</v>
      </c>
      <c r="F1352" t="s"/>
      <c r="G1352" t="s"/>
      <c r="H1352" t="s"/>
      <c r="I1352" t="s"/>
      <c r="J1352" t="n">
        <v>0.6523</v>
      </c>
      <c r="K1352" t="n">
        <v>0.045</v>
      </c>
      <c r="L1352" t="n">
        <v>0.786</v>
      </c>
      <c r="M1352" t="n">
        <v>0.17</v>
      </c>
    </row>
    <row r="1353" spans="1:13">
      <c r="A1353" s="1">
        <f>HYPERLINK("http://www.twitter.com/NathanBLawrence/status/957431196983676933", "957431196983676933")</f>
        <v/>
      </c>
      <c r="B1353" s="2" t="n">
        <v>43128.07824074074</v>
      </c>
      <c r="C1353" t="n">
        <v>0</v>
      </c>
      <c r="D1353" t="n">
        <v>15581</v>
      </c>
      <c r="E1353" t="s">
        <v>1364</v>
      </c>
      <c r="F1353" t="s"/>
      <c r="G1353" t="s"/>
      <c r="H1353" t="s"/>
      <c r="I1353" t="s"/>
      <c r="J1353" t="n">
        <v>0.8225</v>
      </c>
      <c r="K1353" t="n">
        <v>0</v>
      </c>
      <c r="L1353" t="n">
        <v>0.706</v>
      </c>
      <c r="M1353" t="n">
        <v>0.294</v>
      </c>
    </row>
    <row r="1354" spans="1:13">
      <c r="A1354" s="1">
        <f>HYPERLINK("http://www.twitter.com/NathanBLawrence/status/957431036677419009", "957431036677419009")</f>
        <v/>
      </c>
      <c r="B1354" s="2" t="n">
        <v>43128.07780092592</v>
      </c>
      <c r="C1354" t="n">
        <v>0</v>
      </c>
      <c r="D1354" t="n">
        <v>20567</v>
      </c>
      <c r="E1354" t="s">
        <v>1365</v>
      </c>
      <c r="F1354" t="s"/>
      <c r="G1354" t="s"/>
      <c r="H1354" t="s"/>
      <c r="I1354" t="s"/>
      <c r="J1354" t="n">
        <v>0.8176</v>
      </c>
      <c r="K1354" t="n">
        <v>0</v>
      </c>
      <c r="L1354" t="n">
        <v>0.702</v>
      </c>
      <c r="M1354" t="n">
        <v>0.298</v>
      </c>
    </row>
    <row r="1355" spans="1:13">
      <c r="A1355" s="1">
        <f>HYPERLINK("http://www.twitter.com/NathanBLawrence/status/957423300505997313", "957423300505997313")</f>
        <v/>
      </c>
      <c r="B1355" s="2" t="n">
        <v>43128.05644675926</v>
      </c>
      <c r="C1355" t="n">
        <v>0</v>
      </c>
      <c r="D1355" t="n">
        <v>5826</v>
      </c>
      <c r="E1355" t="s">
        <v>1366</v>
      </c>
      <c r="F1355" t="s"/>
      <c r="G1355" t="s"/>
      <c r="H1355" t="s"/>
      <c r="I1355" t="s"/>
      <c r="J1355" t="n">
        <v>-0.7413999999999999</v>
      </c>
      <c r="K1355" t="n">
        <v>0.275</v>
      </c>
      <c r="L1355" t="n">
        <v>0.637</v>
      </c>
      <c r="M1355" t="n">
        <v>0.08799999999999999</v>
      </c>
    </row>
    <row r="1356" spans="1:13">
      <c r="A1356" s="1">
        <f>HYPERLINK("http://www.twitter.com/NathanBLawrence/status/957374319809744896", "957374319809744896")</f>
        <v/>
      </c>
      <c r="B1356" s="2" t="n">
        <v>43127.92128472222</v>
      </c>
      <c r="C1356" t="n">
        <v>1</v>
      </c>
      <c r="D1356" t="n">
        <v>0</v>
      </c>
      <c r="E1356" t="s">
        <v>1367</v>
      </c>
      <c r="F1356" t="s"/>
      <c r="G1356" t="s"/>
      <c r="H1356" t="s"/>
      <c r="I1356" t="s"/>
      <c r="J1356" t="n">
        <v>0.5399</v>
      </c>
      <c r="K1356" t="n">
        <v>0</v>
      </c>
      <c r="L1356" t="n">
        <v>0.463</v>
      </c>
      <c r="M1356" t="n">
        <v>0.537</v>
      </c>
    </row>
    <row r="1357" spans="1:13">
      <c r="A1357" s="1">
        <f>HYPERLINK("http://www.twitter.com/NathanBLawrence/status/957302560200773633", "957302560200773633")</f>
        <v/>
      </c>
      <c r="B1357" s="2" t="n">
        <v>43127.72326388889</v>
      </c>
      <c r="C1357" t="n">
        <v>0</v>
      </c>
      <c r="D1357" t="n">
        <v>0</v>
      </c>
      <c r="E1357" t="s">
        <v>1368</v>
      </c>
      <c r="F1357" t="s"/>
      <c r="G1357" t="s"/>
      <c r="H1357" t="s"/>
      <c r="I1357" t="s"/>
      <c r="J1357" t="n">
        <v>0</v>
      </c>
      <c r="K1357" t="n">
        <v>0</v>
      </c>
      <c r="L1357" t="n">
        <v>1</v>
      </c>
      <c r="M1357" t="n">
        <v>0</v>
      </c>
    </row>
    <row r="1358" spans="1:13">
      <c r="A1358" s="1">
        <f>HYPERLINK("http://www.twitter.com/NathanBLawrence/status/957294278081949697", "957294278081949697")</f>
        <v/>
      </c>
      <c r="B1358" s="2" t="n">
        <v>43127.70041666667</v>
      </c>
      <c r="C1358" t="n">
        <v>0</v>
      </c>
      <c r="D1358" t="n">
        <v>0</v>
      </c>
      <c r="E1358" t="s">
        <v>1369</v>
      </c>
      <c r="F1358" t="s"/>
      <c r="G1358" t="s"/>
      <c r="H1358" t="s"/>
      <c r="I1358" t="s"/>
      <c r="J1358" t="n">
        <v>0.2732</v>
      </c>
      <c r="K1358" t="n">
        <v>0</v>
      </c>
      <c r="L1358" t="n">
        <v>0.916</v>
      </c>
      <c r="M1358" t="n">
        <v>0.08400000000000001</v>
      </c>
    </row>
    <row r="1359" spans="1:13">
      <c r="A1359" s="1">
        <f>HYPERLINK("http://www.twitter.com/NathanBLawrence/status/957052740496248833", "957052740496248833")</f>
        <v/>
      </c>
      <c r="B1359" s="2" t="n">
        <v>43127.03390046296</v>
      </c>
      <c r="C1359" t="n">
        <v>0</v>
      </c>
      <c r="D1359" t="n">
        <v>7</v>
      </c>
      <c r="E1359" t="s">
        <v>1370</v>
      </c>
      <c r="F1359" t="s"/>
      <c r="G1359" t="s"/>
      <c r="H1359" t="s"/>
      <c r="I1359" t="s"/>
      <c r="J1359" t="n">
        <v>0.7003</v>
      </c>
      <c r="K1359" t="n">
        <v>0</v>
      </c>
      <c r="L1359" t="n">
        <v>0.784</v>
      </c>
      <c r="M1359" t="n">
        <v>0.216</v>
      </c>
    </row>
    <row r="1360" spans="1:13">
      <c r="A1360" s="1">
        <f>HYPERLINK("http://www.twitter.com/NathanBLawrence/status/957046009590439938", "957046009590439938")</f>
        <v/>
      </c>
      <c r="B1360" s="2" t="n">
        <v>43127.01532407408</v>
      </c>
      <c r="C1360" t="n">
        <v>1</v>
      </c>
      <c r="D1360" t="n">
        <v>0</v>
      </c>
      <c r="E1360" t="s">
        <v>1371</v>
      </c>
      <c r="F1360" t="s"/>
      <c r="G1360" t="s"/>
      <c r="H1360" t="s"/>
      <c r="I1360" t="s"/>
      <c r="J1360" t="n">
        <v>0</v>
      </c>
      <c r="K1360" t="n">
        <v>0</v>
      </c>
      <c r="L1360" t="n">
        <v>1</v>
      </c>
      <c r="M1360" t="n">
        <v>0</v>
      </c>
    </row>
    <row r="1361" spans="1:13">
      <c r="A1361" s="1">
        <f>HYPERLINK("http://www.twitter.com/NathanBLawrence/status/956979896965836800", "956979896965836800")</f>
        <v/>
      </c>
      <c r="B1361" s="2" t="n">
        <v>43126.83288194444</v>
      </c>
      <c r="C1361" t="n">
        <v>0</v>
      </c>
      <c r="D1361" t="n">
        <v>7</v>
      </c>
      <c r="E1361" t="s">
        <v>1372</v>
      </c>
      <c r="F1361" t="s"/>
      <c r="G1361" t="s"/>
      <c r="H1361" t="s"/>
      <c r="I1361" t="s"/>
      <c r="J1361" t="n">
        <v>0.7184</v>
      </c>
      <c r="K1361" t="n">
        <v>0</v>
      </c>
      <c r="L1361" t="n">
        <v>0.739</v>
      </c>
      <c r="M1361" t="n">
        <v>0.261</v>
      </c>
    </row>
    <row r="1362" spans="1:13">
      <c r="A1362" s="1">
        <f>HYPERLINK("http://www.twitter.com/NathanBLawrence/status/956970790850789378", "956970790850789378")</f>
        <v/>
      </c>
      <c r="B1362" s="2" t="n">
        <v>43126.80775462963</v>
      </c>
      <c r="C1362" t="n">
        <v>0</v>
      </c>
      <c r="D1362" t="n">
        <v>0</v>
      </c>
      <c r="E1362" t="s">
        <v>1373</v>
      </c>
      <c r="F1362" t="s"/>
      <c r="G1362" t="s"/>
      <c r="H1362" t="s"/>
      <c r="I1362" t="s"/>
      <c r="J1362" t="n">
        <v>0.0258</v>
      </c>
      <c r="K1362" t="n">
        <v>0</v>
      </c>
      <c r="L1362" t="n">
        <v>0.891</v>
      </c>
      <c r="M1362" t="n">
        <v>0.109</v>
      </c>
    </row>
    <row r="1363" spans="1:13">
      <c r="A1363" s="1">
        <f>HYPERLINK("http://www.twitter.com/NathanBLawrence/status/956949001269661697", "956949001269661697")</f>
        <v/>
      </c>
      <c r="B1363" s="2" t="n">
        <v>43126.74762731481</v>
      </c>
      <c r="C1363" t="n">
        <v>0</v>
      </c>
      <c r="D1363" t="n">
        <v>0</v>
      </c>
      <c r="E1363" t="s">
        <v>1374</v>
      </c>
      <c r="F1363" t="s"/>
      <c r="G1363" t="s"/>
      <c r="H1363" t="s"/>
      <c r="I1363" t="s"/>
      <c r="J1363" t="n">
        <v>-0.296</v>
      </c>
      <c r="K1363" t="n">
        <v>0.175</v>
      </c>
      <c r="L1363" t="n">
        <v>0.708</v>
      </c>
      <c r="M1363" t="n">
        <v>0.118</v>
      </c>
    </row>
    <row r="1364" spans="1:13">
      <c r="A1364" s="1">
        <f>HYPERLINK("http://www.twitter.com/NathanBLawrence/status/956947494000349184", "956947494000349184")</f>
        <v/>
      </c>
      <c r="B1364" s="2" t="n">
        <v>43126.74347222222</v>
      </c>
      <c r="C1364" t="n">
        <v>0</v>
      </c>
      <c r="D1364" t="n">
        <v>0</v>
      </c>
      <c r="E1364" t="s">
        <v>1375</v>
      </c>
      <c r="F1364" t="s"/>
      <c r="G1364" t="s"/>
      <c r="H1364" t="s"/>
      <c r="I1364" t="s"/>
      <c r="J1364" t="n">
        <v>0</v>
      </c>
      <c r="K1364" t="n">
        <v>0</v>
      </c>
      <c r="L1364" t="n">
        <v>1</v>
      </c>
      <c r="M1364" t="n">
        <v>0</v>
      </c>
    </row>
    <row r="1365" spans="1:13">
      <c r="A1365" s="1">
        <f>HYPERLINK("http://www.twitter.com/NathanBLawrence/status/956938830258589696", "956938830258589696")</f>
        <v/>
      </c>
      <c r="B1365" s="2" t="n">
        <v>43126.71956018519</v>
      </c>
      <c r="C1365" t="n">
        <v>0</v>
      </c>
      <c r="D1365" t="n">
        <v>140</v>
      </c>
      <c r="E1365" t="s">
        <v>1376</v>
      </c>
      <c r="F1365" t="s"/>
      <c r="G1365" t="s"/>
      <c r="H1365" t="s"/>
      <c r="I1365" t="s"/>
      <c r="J1365" t="n">
        <v>0.4696</v>
      </c>
      <c r="K1365" t="n">
        <v>0</v>
      </c>
      <c r="L1365" t="n">
        <v>0.797</v>
      </c>
      <c r="M1365" t="n">
        <v>0.203</v>
      </c>
    </row>
    <row r="1366" spans="1:13">
      <c r="A1366" s="1">
        <f>HYPERLINK("http://www.twitter.com/NathanBLawrence/status/956938426426806273", "956938426426806273")</f>
        <v/>
      </c>
      <c r="B1366" s="2" t="n">
        <v>43126.71844907408</v>
      </c>
      <c r="C1366" t="n">
        <v>0</v>
      </c>
      <c r="D1366" t="n">
        <v>21933</v>
      </c>
      <c r="E1366" t="s">
        <v>1377</v>
      </c>
      <c r="F1366" t="s"/>
      <c r="G1366" t="s"/>
      <c r="H1366" t="s"/>
      <c r="I1366" t="s"/>
      <c r="J1366" t="n">
        <v>0.6801</v>
      </c>
      <c r="K1366" t="n">
        <v>0</v>
      </c>
      <c r="L1366" t="n">
        <v>0.763</v>
      </c>
      <c r="M1366" t="n">
        <v>0.237</v>
      </c>
    </row>
    <row r="1367" spans="1:13">
      <c r="A1367" s="1">
        <f>HYPERLINK("http://www.twitter.com/NathanBLawrence/status/956938415781670917", "956938415781670917")</f>
        <v/>
      </c>
      <c r="B1367" s="2" t="n">
        <v>43126.71842592592</v>
      </c>
      <c r="C1367" t="n">
        <v>0</v>
      </c>
      <c r="D1367" t="n">
        <v>78</v>
      </c>
      <c r="E1367" t="s">
        <v>1378</v>
      </c>
      <c r="F1367" t="s"/>
      <c r="G1367" t="s"/>
      <c r="H1367" t="s"/>
      <c r="I1367" t="s"/>
      <c r="J1367" t="n">
        <v>0</v>
      </c>
      <c r="K1367" t="n">
        <v>0</v>
      </c>
      <c r="L1367" t="n">
        <v>1</v>
      </c>
      <c r="M1367" t="n">
        <v>0</v>
      </c>
    </row>
    <row r="1368" spans="1:13">
      <c r="A1368" s="1">
        <f>HYPERLINK("http://www.twitter.com/NathanBLawrence/status/956747109067182080", "956747109067182080")</f>
        <v/>
      </c>
      <c r="B1368" s="2" t="n">
        <v>43126.19050925926</v>
      </c>
      <c r="C1368" t="n">
        <v>1</v>
      </c>
      <c r="D1368" t="n">
        <v>0</v>
      </c>
      <c r="E1368" t="s">
        <v>1379</v>
      </c>
      <c r="F1368" t="s"/>
      <c r="G1368" t="s"/>
      <c r="H1368" t="s"/>
      <c r="I1368" t="s"/>
      <c r="J1368" t="n">
        <v>0</v>
      </c>
      <c r="K1368" t="n">
        <v>0</v>
      </c>
      <c r="L1368" t="n">
        <v>1</v>
      </c>
      <c r="M1368" t="n">
        <v>0</v>
      </c>
    </row>
    <row r="1369" spans="1:13">
      <c r="A1369" s="1">
        <f>HYPERLINK("http://www.twitter.com/NathanBLawrence/status/956734722708791296", "956734722708791296")</f>
        <v/>
      </c>
      <c r="B1369" s="2" t="n">
        <v>43126.15633101852</v>
      </c>
      <c r="C1369" t="n">
        <v>0</v>
      </c>
      <c r="D1369" t="n">
        <v>0</v>
      </c>
      <c r="E1369" t="s">
        <v>1380</v>
      </c>
      <c r="F1369" t="s"/>
      <c r="G1369" t="s"/>
      <c r="H1369" t="s"/>
      <c r="I1369" t="s"/>
      <c r="J1369" t="n">
        <v>0</v>
      </c>
      <c r="K1369" t="n">
        <v>0</v>
      </c>
      <c r="L1369" t="n">
        <v>1</v>
      </c>
      <c r="M1369" t="n">
        <v>0</v>
      </c>
    </row>
    <row r="1370" spans="1:13">
      <c r="A1370" s="1">
        <f>HYPERLINK("http://www.twitter.com/NathanBLawrence/status/956733678008315905", "956733678008315905")</f>
        <v/>
      </c>
      <c r="B1370" s="2" t="n">
        <v>43126.15344907407</v>
      </c>
      <c r="C1370" t="n">
        <v>0</v>
      </c>
      <c r="D1370" t="n">
        <v>0</v>
      </c>
      <c r="E1370" t="s">
        <v>1381</v>
      </c>
      <c r="F1370" t="s"/>
      <c r="G1370" t="s"/>
      <c r="H1370" t="s"/>
      <c r="I1370" t="s"/>
      <c r="J1370" t="n">
        <v>0</v>
      </c>
      <c r="K1370" t="n">
        <v>0</v>
      </c>
      <c r="L1370" t="n">
        <v>1</v>
      </c>
      <c r="M1370" t="n">
        <v>0</v>
      </c>
    </row>
    <row r="1371" spans="1:13">
      <c r="A1371" s="1">
        <f>HYPERLINK("http://www.twitter.com/NathanBLawrence/status/956690824720502784", "956690824720502784")</f>
        <v/>
      </c>
      <c r="B1371" s="2" t="n">
        <v>43126.03519675926</v>
      </c>
      <c r="C1371" t="n">
        <v>1</v>
      </c>
      <c r="D1371" t="n">
        <v>1</v>
      </c>
      <c r="E1371" t="s">
        <v>1382</v>
      </c>
      <c r="F1371" t="s"/>
      <c r="G1371" t="s"/>
      <c r="H1371" t="s"/>
      <c r="I1371" t="s"/>
      <c r="J1371" t="n">
        <v>0</v>
      </c>
      <c r="K1371" t="n">
        <v>0</v>
      </c>
      <c r="L1371" t="n">
        <v>1</v>
      </c>
      <c r="M1371" t="n">
        <v>0</v>
      </c>
    </row>
    <row r="1372" spans="1:13">
      <c r="A1372" s="1">
        <f>HYPERLINK("http://www.twitter.com/NathanBLawrence/status/956677389949513728", "956677389949513728")</f>
        <v/>
      </c>
      <c r="B1372" s="2" t="n">
        <v>43125.998125</v>
      </c>
      <c r="C1372" t="n">
        <v>0</v>
      </c>
      <c r="D1372" t="n">
        <v>0</v>
      </c>
      <c r="E1372" t="s">
        <v>1383</v>
      </c>
      <c r="F1372" t="s"/>
      <c r="G1372" t="s"/>
      <c r="H1372" t="s"/>
      <c r="I1372" t="s"/>
      <c r="J1372" t="n">
        <v>-0.34</v>
      </c>
      <c r="K1372" t="n">
        <v>0.194</v>
      </c>
      <c r="L1372" t="n">
        <v>0.806</v>
      </c>
      <c r="M1372" t="n">
        <v>0</v>
      </c>
    </row>
    <row r="1373" spans="1:13">
      <c r="A1373" s="1">
        <f>HYPERLINK("http://www.twitter.com/NathanBLawrence/status/956675942285565952", "956675942285565952")</f>
        <v/>
      </c>
      <c r="B1373" s="2" t="n">
        <v>43125.99413194445</v>
      </c>
      <c r="C1373" t="n">
        <v>0</v>
      </c>
      <c r="D1373" t="n">
        <v>0</v>
      </c>
      <c r="E1373" t="s">
        <v>1384</v>
      </c>
      <c r="F1373" t="s"/>
      <c r="G1373" t="s"/>
      <c r="H1373" t="s"/>
      <c r="I1373" t="s"/>
      <c r="J1373" t="n">
        <v>0.8401999999999999</v>
      </c>
      <c r="K1373" t="n">
        <v>0</v>
      </c>
      <c r="L1373" t="n">
        <v>0.619</v>
      </c>
      <c r="M1373" t="n">
        <v>0.381</v>
      </c>
    </row>
    <row r="1374" spans="1:13">
      <c r="A1374" s="1">
        <f>HYPERLINK("http://www.twitter.com/NathanBLawrence/status/956640227057197057", "956640227057197057")</f>
        <v/>
      </c>
      <c r="B1374" s="2" t="n">
        <v>43125.8955787037</v>
      </c>
      <c r="C1374" t="n">
        <v>0</v>
      </c>
      <c r="D1374" t="n">
        <v>4236</v>
      </c>
      <c r="E1374" t="s">
        <v>1385</v>
      </c>
      <c r="F1374" t="s"/>
      <c r="G1374" t="s"/>
      <c r="H1374" t="s"/>
      <c r="I1374" t="s"/>
      <c r="J1374" t="n">
        <v>0</v>
      </c>
      <c r="K1374" t="n">
        <v>0</v>
      </c>
      <c r="L1374" t="n">
        <v>1</v>
      </c>
      <c r="M1374" t="n">
        <v>0</v>
      </c>
    </row>
    <row r="1375" spans="1:13">
      <c r="A1375" s="1">
        <f>HYPERLINK("http://www.twitter.com/NathanBLawrence/status/956622565463724032", "956622565463724032")</f>
        <v/>
      </c>
      <c r="B1375" s="2" t="n">
        <v>43125.84684027778</v>
      </c>
      <c r="C1375" t="n">
        <v>1</v>
      </c>
      <c r="D1375" t="n">
        <v>0</v>
      </c>
      <c r="E1375" t="s">
        <v>1386</v>
      </c>
      <c r="F1375" t="s"/>
      <c r="G1375" t="s"/>
      <c r="H1375" t="s"/>
      <c r="I1375" t="s"/>
      <c r="J1375" t="n">
        <v>0.3182</v>
      </c>
      <c r="K1375" t="n">
        <v>0</v>
      </c>
      <c r="L1375" t="n">
        <v>0.839</v>
      </c>
      <c r="M1375" t="n">
        <v>0.161</v>
      </c>
    </row>
    <row r="1376" spans="1:13">
      <c r="A1376" s="1">
        <f>HYPERLINK("http://www.twitter.com/NathanBLawrence/status/956607918455099394", "956607918455099394")</f>
        <v/>
      </c>
      <c r="B1376" s="2" t="n">
        <v>43125.80642361111</v>
      </c>
      <c r="C1376" t="n">
        <v>1</v>
      </c>
      <c r="D1376" t="n">
        <v>0</v>
      </c>
      <c r="E1376" t="s">
        <v>1387</v>
      </c>
      <c r="F1376" t="s"/>
      <c r="G1376" t="s"/>
      <c r="H1376" t="s"/>
      <c r="I1376" t="s"/>
      <c r="J1376" t="n">
        <v>0</v>
      </c>
      <c r="K1376" t="n">
        <v>0</v>
      </c>
      <c r="L1376" t="n">
        <v>1</v>
      </c>
      <c r="M1376" t="n">
        <v>0</v>
      </c>
    </row>
    <row r="1377" spans="1:13">
      <c r="A1377" s="1">
        <f>HYPERLINK("http://www.twitter.com/NathanBLawrence/status/956596753352089601", "956596753352089601")</f>
        <v/>
      </c>
      <c r="B1377" s="2" t="n">
        <v>43125.77561342593</v>
      </c>
      <c r="C1377" t="n">
        <v>0</v>
      </c>
      <c r="D1377" t="n">
        <v>0</v>
      </c>
      <c r="E1377" t="s">
        <v>1388</v>
      </c>
      <c r="F1377" t="s"/>
      <c r="G1377" t="s"/>
      <c r="H1377" t="s"/>
      <c r="I1377" t="s"/>
      <c r="J1377" t="n">
        <v>0</v>
      </c>
      <c r="K1377" t="n">
        <v>0</v>
      </c>
      <c r="L1377" t="n">
        <v>1</v>
      </c>
      <c r="M1377" t="n">
        <v>0</v>
      </c>
    </row>
    <row r="1378" spans="1:13">
      <c r="A1378" s="1">
        <f>HYPERLINK("http://www.twitter.com/NathanBLawrence/status/956585690044694529", "956585690044694529")</f>
        <v/>
      </c>
      <c r="B1378" s="2" t="n">
        <v>43125.74508101852</v>
      </c>
      <c r="C1378" t="n">
        <v>0</v>
      </c>
      <c r="D1378" t="n">
        <v>402</v>
      </c>
      <c r="E1378" t="s">
        <v>1389</v>
      </c>
      <c r="F1378" t="s"/>
      <c r="G1378" t="s"/>
      <c r="H1378" t="s"/>
      <c r="I1378" t="s"/>
      <c r="J1378" t="n">
        <v>0</v>
      </c>
      <c r="K1378" t="n">
        <v>0</v>
      </c>
      <c r="L1378" t="n">
        <v>1</v>
      </c>
      <c r="M1378" t="n">
        <v>0</v>
      </c>
    </row>
    <row r="1379" spans="1:13">
      <c r="A1379" s="1">
        <f>HYPERLINK("http://www.twitter.com/NathanBLawrence/status/956576918048034821", "956576918048034821")</f>
        <v/>
      </c>
      <c r="B1379" s="2" t="n">
        <v>43125.72087962963</v>
      </c>
      <c r="C1379" t="n">
        <v>2</v>
      </c>
      <c r="D1379" t="n">
        <v>0</v>
      </c>
      <c r="E1379" t="s">
        <v>1390</v>
      </c>
      <c r="F1379" t="s"/>
      <c r="G1379" t="s"/>
      <c r="H1379" t="s"/>
      <c r="I1379" t="s"/>
      <c r="J1379" t="n">
        <v>0.5053</v>
      </c>
      <c r="K1379" t="n">
        <v>0</v>
      </c>
      <c r="L1379" t="n">
        <v>0.647</v>
      </c>
      <c r="M1379" t="n">
        <v>0.353</v>
      </c>
    </row>
    <row r="1380" spans="1:13">
      <c r="A1380" s="1">
        <f>HYPERLINK("http://www.twitter.com/NathanBLawrence/status/956569319198089218", "956569319198089218")</f>
        <v/>
      </c>
      <c r="B1380" s="2" t="n">
        <v>43125.6999074074</v>
      </c>
      <c r="C1380" t="n">
        <v>0</v>
      </c>
      <c r="D1380" t="n">
        <v>0</v>
      </c>
      <c r="E1380" t="s">
        <v>1391</v>
      </c>
      <c r="F1380" t="s"/>
      <c r="G1380" t="s"/>
      <c r="H1380" t="s"/>
      <c r="I1380" t="s"/>
      <c r="J1380" t="n">
        <v>0</v>
      </c>
      <c r="K1380" t="n">
        <v>0</v>
      </c>
      <c r="L1380" t="n">
        <v>1</v>
      </c>
      <c r="M1380" t="n">
        <v>0</v>
      </c>
    </row>
    <row r="1381" spans="1:13">
      <c r="A1381" s="1">
        <f>HYPERLINK("http://www.twitter.com/NathanBLawrence/status/956567099983454210", "956567099983454210")</f>
        <v/>
      </c>
      <c r="B1381" s="2" t="n">
        <v>43125.69378472222</v>
      </c>
      <c r="C1381" t="n">
        <v>0</v>
      </c>
      <c r="D1381" t="n">
        <v>0</v>
      </c>
      <c r="E1381" t="s">
        <v>1392</v>
      </c>
      <c r="F1381" t="s"/>
      <c r="G1381" t="s"/>
      <c r="H1381" t="s"/>
      <c r="I1381" t="s"/>
      <c r="J1381" t="n">
        <v>-0.0772</v>
      </c>
      <c r="K1381" t="n">
        <v>0.5649999999999999</v>
      </c>
      <c r="L1381" t="n">
        <v>0.435</v>
      </c>
      <c r="M1381" t="n">
        <v>0</v>
      </c>
    </row>
    <row r="1382" spans="1:13">
      <c r="A1382" s="1">
        <f>HYPERLINK("http://www.twitter.com/NathanBLawrence/status/956550177300647936", "956550177300647936")</f>
        <v/>
      </c>
      <c r="B1382" s="2" t="n">
        <v>43125.64708333334</v>
      </c>
      <c r="C1382" t="n">
        <v>0</v>
      </c>
      <c r="D1382" t="n">
        <v>274</v>
      </c>
      <c r="E1382" t="s">
        <v>1393</v>
      </c>
      <c r="F1382" t="s"/>
      <c r="G1382" t="s"/>
      <c r="H1382" t="s"/>
      <c r="I1382" t="s"/>
      <c r="J1382" t="n">
        <v>-0.5859</v>
      </c>
      <c r="K1382" t="n">
        <v>0.153</v>
      </c>
      <c r="L1382" t="n">
        <v>0.847</v>
      </c>
      <c r="M1382" t="n">
        <v>0</v>
      </c>
    </row>
    <row r="1383" spans="1:13">
      <c r="A1383" s="1">
        <f>HYPERLINK("http://www.twitter.com/NathanBLawrence/status/956549793001680896", "956549793001680896")</f>
        <v/>
      </c>
      <c r="B1383" s="2" t="n">
        <v>43125.64603009259</v>
      </c>
      <c r="C1383" t="n">
        <v>1</v>
      </c>
      <c r="D1383" t="n">
        <v>1</v>
      </c>
      <c r="E1383" t="s">
        <v>1394</v>
      </c>
      <c r="F1383" t="s"/>
      <c r="G1383" t="s"/>
      <c r="H1383" t="s"/>
      <c r="I1383" t="s"/>
      <c r="J1383" t="n">
        <v>0</v>
      </c>
      <c r="K1383" t="n">
        <v>0</v>
      </c>
      <c r="L1383" t="n">
        <v>1</v>
      </c>
      <c r="M1383" t="n">
        <v>0</v>
      </c>
    </row>
    <row r="1384" spans="1:13">
      <c r="A1384" s="1">
        <f>HYPERLINK("http://www.twitter.com/NathanBLawrence/status/956531615425073152", "956531615425073152")</f>
        <v/>
      </c>
      <c r="B1384" s="2" t="n">
        <v>43125.59586805556</v>
      </c>
      <c r="C1384" t="n">
        <v>0</v>
      </c>
      <c r="D1384" t="n">
        <v>5364</v>
      </c>
      <c r="E1384" t="s">
        <v>1395</v>
      </c>
      <c r="F1384" t="s"/>
      <c r="G1384" t="s"/>
      <c r="H1384" t="s"/>
      <c r="I1384" t="s"/>
      <c r="J1384" t="n">
        <v>0.4926</v>
      </c>
      <c r="K1384" t="n">
        <v>0</v>
      </c>
      <c r="L1384" t="n">
        <v>0.862</v>
      </c>
      <c r="M1384" t="n">
        <v>0.138</v>
      </c>
    </row>
    <row r="1385" spans="1:13">
      <c r="A1385" s="1">
        <f>HYPERLINK("http://www.twitter.com/NathanBLawrence/status/956531288500068352", "956531288500068352")</f>
        <v/>
      </c>
      <c r="B1385" s="2" t="n">
        <v>43125.59496527778</v>
      </c>
      <c r="C1385" t="n">
        <v>0</v>
      </c>
      <c r="D1385" t="n">
        <v>0</v>
      </c>
      <c r="E1385" t="s">
        <v>1396</v>
      </c>
      <c r="F1385" t="s"/>
      <c r="G1385" t="s"/>
      <c r="H1385" t="s"/>
      <c r="I1385" t="s"/>
      <c r="J1385" t="n">
        <v>-0.3182</v>
      </c>
      <c r="K1385" t="n">
        <v>0.115</v>
      </c>
      <c r="L1385" t="n">
        <v>0.8179999999999999</v>
      </c>
      <c r="M1385" t="n">
        <v>0.067</v>
      </c>
    </row>
    <row r="1386" spans="1:13">
      <c r="A1386" s="1">
        <f>HYPERLINK("http://www.twitter.com/NathanBLawrence/status/956519864495214592", "956519864495214592")</f>
        <v/>
      </c>
      <c r="B1386" s="2" t="n">
        <v>43125.5634375</v>
      </c>
      <c r="C1386" t="n">
        <v>0</v>
      </c>
      <c r="D1386" t="n">
        <v>0</v>
      </c>
      <c r="E1386" t="s">
        <v>1397</v>
      </c>
      <c r="F1386" t="s"/>
      <c r="G1386" t="s"/>
      <c r="H1386" t="s"/>
      <c r="I1386" t="s"/>
      <c r="J1386" t="n">
        <v>-0.3899</v>
      </c>
      <c r="K1386" t="n">
        <v>0.18</v>
      </c>
      <c r="L1386" t="n">
        <v>0.82</v>
      </c>
      <c r="M1386" t="n">
        <v>0</v>
      </c>
    </row>
    <row r="1387" spans="1:13">
      <c r="A1387" s="1">
        <f>HYPERLINK("http://www.twitter.com/NathanBLawrence/status/956515640864624640", "956515640864624640")</f>
        <v/>
      </c>
      <c r="B1387" s="2" t="n">
        <v>43125.5517824074</v>
      </c>
      <c r="C1387" t="n">
        <v>0</v>
      </c>
      <c r="D1387" t="n">
        <v>0</v>
      </c>
      <c r="E1387" t="s">
        <v>1398</v>
      </c>
      <c r="F1387" t="s"/>
      <c r="G1387" t="s"/>
      <c r="H1387" t="s"/>
      <c r="I1387" t="s"/>
      <c r="J1387" t="n">
        <v>0</v>
      </c>
      <c r="K1387" t="n">
        <v>0</v>
      </c>
      <c r="L1387" t="n">
        <v>1</v>
      </c>
      <c r="M1387" t="n">
        <v>0</v>
      </c>
    </row>
    <row r="1388" spans="1:13">
      <c r="A1388" s="1">
        <f>HYPERLINK("http://www.twitter.com/NathanBLawrence/status/956373062638817280", "956373062638817280")</f>
        <v/>
      </c>
      <c r="B1388" s="2" t="n">
        <v>43125.15834490741</v>
      </c>
      <c r="C1388" t="n">
        <v>0</v>
      </c>
      <c r="D1388" t="n">
        <v>42</v>
      </c>
      <c r="E1388" t="s">
        <v>1399</v>
      </c>
      <c r="F1388" t="s"/>
      <c r="G1388" t="s"/>
      <c r="H1388" t="s"/>
      <c r="I1388" t="s"/>
      <c r="J1388" t="n">
        <v>-0.4939</v>
      </c>
      <c r="K1388" t="n">
        <v>0.167</v>
      </c>
      <c r="L1388" t="n">
        <v>0.833</v>
      </c>
      <c r="M1388" t="n">
        <v>0</v>
      </c>
    </row>
    <row r="1389" spans="1:13">
      <c r="A1389" s="1">
        <f>HYPERLINK("http://www.twitter.com/NathanBLawrence/status/956369595694288896", "956369595694288896")</f>
        <v/>
      </c>
      <c r="B1389" s="2" t="n">
        <v>43125.14877314815</v>
      </c>
      <c r="C1389" t="n">
        <v>0</v>
      </c>
      <c r="D1389" t="n">
        <v>7019</v>
      </c>
      <c r="E1389" t="s">
        <v>1400</v>
      </c>
      <c r="F1389" t="s"/>
      <c r="G1389" t="s"/>
      <c r="H1389" t="s"/>
      <c r="I1389" t="s"/>
      <c r="J1389" t="n">
        <v>0</v>
      </c>
      <c r="K1389" t="n">
        <v>0</v>
      </c>
      <c r="L1389" t="n">
        <v>1</v>
      </c>
      <c r="M1389" t="n">
        <v>0</v>
      </c>
    </row>
    <row r="1390" spans="1:13">
      <c r="A1390" s="1">
        <f>HYPERLINK("http://www.twitter.com/NathanBLawrence/status/956368617221840897", "956368617221840897")</f>
        <v/>
      </c>
      <c r="B1390" s="2" t="n">
        <v>43125.14607638889</v>
      </c>
      <c r="C1390" t="n">
        <v>1</v>
      </c>
      <c r="D1390" t="n">
        <v>0</v>
      </c>
      <c r="E1390" t="s">
        <v>1401</v>
      </c>
      <c r="F1390" t="s"/>
      <c r="G1390" t="s"/>
      <c r="H1390" t="s"/>
      <c r="I1390" t="s"/>
      <c r="J1390" t="n">
        <v>-0.1779</v>
      </c>
      <c r="K1390" t="n">
        <v>0.175</v>
      </c>
      <c r="L1390" t="n">
        <v>0.825</v>
      </c>
      <c r="M1390" t="n">
        <v>0</v>
      </c>
    </row>
    <row r="1391" spans="1:13">
      <c r="A1391" s="1">
        <f>HYPERLINK("http://www.twitter.com/NathanBLawrence/status/956333050362777601", "956333050362777601")</f>
        <v/>
      </c>
      <c r="B1391" s="2" t="n">
        <v>43125.04792824074</v>
      </c>
      <c r="C1391" t="n">
        <v>0</v>
      </c>
      <c r="D1391" t="n">
        <v>1</v>
      </c>
      <c r="E1391" t="s">
        <v>1402</v>
      </c>
      <c r="F1391" t="s"/>
      <c r="G1391" t="s"/>
      <c r="H1391" t="s"/>
      <c r="I1391" t="s"/>
      <c r="J1391" t="n">
        <v>0</v>
      </c>
      <c r="K1391" t="n">
        <v>0</v>
      </c>
      <c r="L1391" t="n">
        <v>1</v>
      </c>
      <c r="M1391" t="n">
        <v>0</v>
      </c>
    </row>
    <row r="1392" spans="1:13">
      <c r="A1392" s="1">
        <f>HYPERLINK("http://www.twitter.com/NathanBLawrence/status/956332689036140544", "956332689036140544")</f>
        <v/>
      </c>
      <c r="B1392" s="2" t="n">
        <v>43125.04693287037</v>
      </c>
      <c r="C1392" t="n">
        <v>0</v>
      </c>
      <c r="D1392" t="n">
        <v>9558</v>
      </c>
      <c r="E1392" t="s">
        <v>1403</v>
      </c>
      <c r="F1392" t="s"/>
      <c r="G1392" t="s"/>
      <c r="H1392" t="s"/>
      <c r="I1392" t="s"/>
      <c r="J1392" t="n">
        <v>0.6002999999999999</v>
      </c>
      <c r="K1392" t="n">
        <v>0</v>
      </c>
      <c r="L1392" t="n">
        <v>0.8110000000000001</v>
      </c>
      <c r="M1392" t="n">
        <v>0.189</v>
      </c>
    </row>
    <row r="1393" spans="1:13">
      <c r="A1393" s="1">
        <f>HYPERLINK("http://www.twitter.com/NathanBLawrence/status/956322791950901248", "956322791950901248")</f>
        <v/>
      </c>
      <c r="B1393" s="2" t="n">
        <v>43125.01961805556</v>
      </c>
      <c r="C1393" t="n">
        <v>0</v>
      </c>
      <c r="D1393" t="n">
        <v>16769</v>
      </c>
      <c r="E1393" t="s">
        <v>1404</v>
      </c>
      <c r="F1393">
        <f>HYPERLINK("http://pbs.twimg.com/media/Cw9H9bBWQAA23pP.jpg", "http://pbs.twimg.com/media/Cw9H9bBWQAA23pP.jpg")</f>
        <v/>
      </c>
      <c r="G1393" t="s"/>
      <c r="H1393" t="s"/>
      <c r="I1393" t="s"/>
      <c r="J1393" t="n">
        <v>0.8671</v>
      </c>
      <c r="K1393" t="n">
        <v>0</v>
      </c>
      <c r="L1393" t="n">
        <v>0.598</v>
      </c>
      <c r="M1393" t="n">
        <v>0.402</v>
      </c>
    </row>
    <row r="1394" spans="1:13">
      <c r="A1394" s="1">
        <f>HYPERLINK("http://www.twitter.com/NathanBLawrence/status/956262349912072193", "956262349912072193")</f>
        <v/>
      </c>
      <c r="B1394" s="2" t="n">
        <v>43124.85283564815</v>
      </c>
      <c r="C1394" t="n">
        <v>1</v>
      </c>
      <c r="D1394" t="n">
        <v>0</v>
      </c>
      <c r="E1394" t="s">
        <v>1405</v>
      </c>
      <c r="F1394" t="s"/>
      <c r="G1394" t="s"/>
      <c r="H1394" t="s"/>
      <c r="I1394" t="s"/>
      <c r="J1394" t="n">
        <v>0</v>
      </c>
      <c r="K1394" t="n">
        <v>0</v>
      </c>
      <c r="L1394" t="n">
        <v>1</v>
      </c>
      <c r="M1394" t="n">
        <v>0</v>
      </c>
    </row>
    <row r="1395" spans="1:13">
      <c r="A1395" s="1">
        <f>HYPERLINK("http://www.twitter.com/NathanBLawrence/status/956254280113180677", "956254280113180677")</f>
        <v/>
      </c>
      <c r="B1395" s="2" t="n">
        <v>43124.83056712963</v>
      </c>
      <c r="C1395" t="n">
        <v>0</v>
      </c>
      <c r="D1395" t="n">
        <v>0</v>
      </c>
      <c r="E1395" t="s">
        <v>1406</v>
      </c>
      <c r="F1395" t="s"/>
      <c r="G1395" t="s"/>
      <c r="H1395" t="s"/>
      <c r="I1395" t="s"/>
      <c r="J1395" t="n">
        <v>0</v>
      </c>
      <c r="K1395" t="n">
        <v>0</v>
      </c>
      <c r="L1395" t="n">
        <v>1</v>
      </c>
      <c r="M1395" t="n">
        <v>0</v>
      </c>
    </row>
    <row r="1396" spans="1:13">
      <c r="A1396" s="1">
        <f>HYPERLINK("http://www.twitter.com/NathanBLawrence/status/956251462966882305", "956251462966882305")</f>
        <v/>
      </c>
      <c r="B1396" s="2" t="n">
        <v>43124.82278935185</v>
      </c>
      <c r="C1396" t="n">
        <v>0</v>
      </c>
      <c r="D1396" t="n">
        <v>6</v>
      </c>
      <c r="E1396" t="s">
        <v>1407</v>
      </c>
      <c r="F1396" t="s"/>
      <c r="G1396" t="s"/>
      <c r="H1396" t="s"/>
      <c r="I1396" t="s"/>
      <c r="J1396" t="n">
        <v>0.4019</v>
      </c>
      <c r="K1396" t="n">
        <v>0</v>
      </c>
      <c r="L1396" t="n">
        <v>0.87</v>
      </c>
      <c r="M1396" t="n">
        <v>0.13</v>
      </c>
    </row>
    <row r="1397" spans="1:13">
      <c r="A1397" s="1">
        <f>HYPERLINK("http://www.twitter.com/NathanBLawrence/status/956219032339910656", "956219032339910656")</f>
        <v/>
      </c>
      <c r="B1397" s="2" t="n">
        <v>43124.73329861111</v>
      </c>
      <c r="C1397" t="n">
        <v>0</v>
      </c>
      <c r="D1397" t="n">
        <v>0</v>
      </c>
      <c r="E1397" t="s">
        <v>1408</v>
      </c>
      <c r="F1397" t="s"/>
      <c r="G1397" t="s"/>
      <c r="H1397" t="s"/>
      <c r="I1397" t="s"/>
      <c r="J1397" t="n">
        <v>0</v>
      </c>
      <c r="K1397" t="n">
        <v>0</v>
      </c>
      <c r="L1397" t="n">
        <v>1</v>
      </c>
      <c r="M1397" t="n">
        <v>0</v>
      </c>
    </row>
    <row r="1398" spans="1:13">
      <c r="A1398" s="1">
        <f>HYPERLINK("http://www.twitter.com/NathanBLawrence/status/956177051819630593", "956177051819630593")</f>
        <v/>
      </c>
      <c r="B1398" s="2" t="n">
        <v>43124.6174537037</v>
      </c>
      <c r="C1398" t="n">
        <v>0</v>
      </c>
      <c r="D1398" t="n">
        <v>0</v>
      </c>
      <c r="E1398" t="s">
        <v>1409</v>
      </c>
      <c r="F1398" t="s"/>
      <c r="G1398" t="s"/>
      <c r="H1398" t="s"/>
      <c r="I1398" t="s"/>
      <c r="J1398" t="n">
        <v>0</v>
      </c>
      <c r="K1398" t="n">
        <v>0</v>
      </c>
      <c r="L1398" t="n">
        <v>1</v>
      </c>
      <c r="M1398" t="n">
        <v>0</v>
      </c>
    </row>
    <row r="1399" spans="1:13">
      <c r="A1399" s="1">
        <f>HYPERLINK("http://www.twitter.com/NathanBLawrence/status/956174719916625920", "956174719916625920")</f>
        <v/>
      </c>
      <c r="B1399" s="2" t="n">
        <v>43124.61101851852</v>
      </c>
      <c r="C1399" t="n">
        <v>0</v>
      </c>
      <c r="D1399" t="n">
        <v>0</v>
      </c>
      <c r="E1399" t="s">
        <v>1410</v>
      </c>
      <c r="F1399" t="s"/>
      <c r="G1399" t="s"/>
      <c r="H1399" t="s"/>
      <c r="I1399" t="s"/>
      <c r="J1399" t="n">
        <v>0.4019</v>
      </c>
      <c r="K1399" t="n">
        <v>0</v>
      </c>
      <c r="L1399" t="n">
        <v>0.748</v>
      </c>
      <c r="M1399" t="n">
        <v>0.252</v>
      </c>
    </row>
    <row r="1400" spans="1:13">
      <c r="A1400" s="1">
        <f>HYPERLINK("http://www.twitter.com/NathanBLawrence/status/956162986300854273", "956162986300854273")</f>
        <v/>
      </c>
      <c r="B1400" s="2" t="n">
        <v>43124.57864583333</v>
      </c>
      <c r="C1400" t="n">
        <v>0</v>
      </c>
      <c r="D1400" t="n">
        <v>0</v>
      </c>
      <c r="E1400" t="s">
        <v>1411</v>
      </c>
      <c r="F1400" t="s"/>
      <c r="G1400" t="s"/>
      <c r="H1400" t="s"/>
      <c r="I1400" t="s"/>
      <c r="J1400" t="n">
        <v>0</v>
      </c>
      <c r="K1400" t="n">
        <v>0</v>
      </c>
      <c r="L1400" t="n">
        <v>1</v>
      </c>
      <c r="M1400" t="n">
        <v>0</v>
      </c>
    </row>
    <row r="1401" spans="1:13">
      <c r="A1401" s="1">
        <f>HYPERLINK("http://www.twitter.com/NathanBLawrence/status/956159897602797573", "956159897602797573")</f>
        <v/>
      </c>
      <c r="B1401" s="2" t="n">
        <v>43124.57011574074</v>
      </c>
      <c r="C1401" t="n">
        <v>16</v>
      </c>
      <c r="D1401" t="n">
        <v>4</v>
      </c>
      <c r="E1401" t="s">
        <v>1412</v>
      </c>
      <c r="F1401" t="s"/>
      <c r="G1401" t="s"/>
      <c r="H1401" t="s"/>
      <c r="I1401" t="s"/>
      <c r="J1401" t="n">
        <v>-0.7108</v>
      </c>
      <c r="K1401" t="n">
        <v>0.237</v>
      </c>
      <c r="L1401" t="n">
        <v>0.708</v>
      </c>
      <c r="M1401" t="n">
        <v>0.055</v>
      </c>
    </row>
    <row r="1402" spans="1:13">
      <c r="A1402" s="1">
        <f>HYPERLINK("http://www.twitter.com/NathanBLawrence/status/956157312191942656", "956157312191942656")</f>
        <v/>
      </c>
      <c r="B1402" s="2" t="n">
        <v>43124.56298611111</v>
      </c>
      <c r="C1402" t="n">
        <v>0</v>
      </c>
      <c r="D1402" t="n">
        <v>0</v>
      </c>
      <c r="E1402" t="s">
        <v>1413</v>
      </c>
      <c r="F1402" t="s"/>
      <c r="G1402" t="s"/>
      <c r="H1402" t="s"/>
      <c r="I1402" t="s"/>
      <c r="J1402" t="n">
        <v>0.3182</v>
      </c>
      <c r="K1402" t="n">
        <v>0.114</v>
      </c>
      <c r="L1402" t="n">
        <v>0.675</v>
      </c>
      <c r="M1402" t="n">
        <v>0.211</v>
      </c>
    </row>
    <row r="1403" spans="1:13">
      <c r="A1403" s="1">
        <f>HYPERLINK("http://www.twitter.com/NathanBLawrence/status/956128640101703682", "956128640101703682")</f>
        <v/>
      </c>
      <c r="B1403" s="2" t="n">
        <v>43124.48386574074</v>
      </c>
      <c r="C1403" t="n">
        <v>1</v>
      </c>
      <c r="D1403" t="n">
        <v>0</v>
      </c>
      <c r="E1403" t="s">
        <v>1414</v>
      </c>
      <c r="F1403">
        <f>HYPERLINK("http://pbs.twimg.com/media/DUTZ7R5VoAAB7fi.jpg", "http://pbs.twimg.com/media/DUTZ7R5VoAAB7fi.jpg")</f>
        <v/>
      </c>
      <c r="G1403" t="s"/>
      <c r="H1403" t="s"/>
      <c r="I1403" t="s"/>
      <c r="J1403" t="n">
        <v>0.6209</v>
      </c>
      <c r="K1403" t="n">
        <v>0</v>
      </c>
      <c r="L1403" t="n">
        <v>0.824</v>
      </c>
      <c r="M1403" t="n">
        <v>0.176</v>
      </c>
    </row>
    <row r="1404" spans="1:13">
      <c r="A1404" s="1">
        <f>HYPERLINK("http://www.twitter.com/NathanBLawrence/status/956117993523642368", "956117993523642368")</f>
        <v/>
      </c>
      <c r="B1404" s="2" t="n">
        <v>43124.45449074074</v>
      </c>
      <c r="C1404" t="n">
        <v>0</v>
      </c>
      <c r="D1404" t="n">
        <v>0</v>
      </c>
      <c r="E1404" t="s">
        <v>1415</v>
      </c>
      <c r="F1404" t="s"/>
      <c r="G1404" t="s"/>
      <c r="H1404" t="s"/>
      <c r="I1404" t="s"/>
      <c r="J1404" t="n">
        <v>0</v>
      </c>
      <c r="K1404" t="n">
        <v>0</v>
      </c>
      <c r="L1404" t="n">
        <v>1</v>
      </c>
      <c r="M1404" t="n">
        <v>0</v>
      </c>
    </row>
    <row r="1405" spans="1:13">
      <c r="A1405" s="1">
        <f>HYPERLINK("http://www.twitter.com/NathanBLawrence/status/955991055329095680", "955991055329095680")</f>
        <v/>
      </c>
      <c r="B1405" s="2" t="n">
        <v>43124.10420138889</v>
      </c>
      <c r="C1405" t="n">
        <v>0</v>
      </c>
      <c r="D1405" t="n">
        <v>3202</v>
      </c>
      <c r="E1405" t="s">
        <v>1416</v>
      </c>
      <c r="F1405" t="s"/>
      <c r="G1405" t="s"/>
      <c r="H1405" t="s"/>
      <c r="I1405" t="s"/>
      <c r="J1405" t="n">
        <v>0.3182</v>
      </c>
      <c r="K1405" t="n">
        <v>0</v>
      </c>
      <c r="L1405" t="n">
        <v>0.881</v>
      </c>
      <c r="M1405" t="n">
        <v>0.119</v>
      </c>
    </row>
    <row r="1406" spans="1:13">
      <c r="A1406" s="1">
        <f>HYPERLINK("http://www.twitter.com/NathanBLawrence/status/955990490549309440", "955990490549309440")</f>
        <v/>
      </c>
      <c r="B1406" s="2" t="n">
        <v>43124.10265046296</v>
      </c>
      <c r="C1406" t="n">
        <v>3</v>
      </c>
      <c r="D1406" t="n">
        <v>0</v>
      </c>
      <c r="E1406" t="s">
        <v>1417</v>
      </c>
      <c r="F1406" t="s"/>
      <c r="G1406" t="s"/>
      <c r="H1406" t="s"/>
      <c r="I1406" t="s"/>
      <c r="J1406" t="n">
        <v>0</v>
      </c>
      <c r="K1406" t="n">
        <v>0</v>
      </c>
      <c r="L1406" t="n">
        <v>1</v>
      </c>
      <c r="M1406" t="n">
        <v>0</v>
      </c>
    </row>
    <row r="1407" spans="1:13">
      <c r="A1407" s="1">
        <f>HYPERLINK("http://www.twitter.com/NathanBLawrence/status/955989129560457216", "955989129560457216")</f>
        <v/>
      </c>
      <c r="B1407" s="2" t="n">
        <v>43124.09888888889</v>
      </c>
      <c r="C1407" t="n">
        <v>0</v>
      </c>
      <c r="D1407" t="n">
        <v>1</v>
      </c>
      <c r="E1407" t="s">
        <v>1418</v>
      </c>
      <c r="F1407" t="s"/>
      <c r="G1407" t="s"/>
      <c r="H1407" t="s"/>
      <c r="I1407" t="s"/>
      <c r="J1407" t="n">
        <v>0</v>
      </c>
      <c r="K1407" t="n">
        <v>0</v>
      </c>
      <c r="L1407" t="n">
        <v>1</v>
      </c>
      <c r="M1407" t="n">
        <v>0</v>
      </c>
    </row>
    <row r="1408" spans="1:13">
      <c r="A1408" s="1">
        <f>HYPERLINK("http://www.twitter.com/NathanBLawrence/status/955988969019396096", "955988969019396096")</f>
        <v/>
      </c>
      <c r="B1408" s="2" t="n">
        <v>43124.09844907407</v>
      </c>
      <c r="C1408" t="n">
        <v>0</v>
      </c>
      <c r="D1408" t="n">
        <v>2</v>
      </c>
      <c r="E1408" t="s">
        <v>1419</v>
      </c>
      <c r="F1408" t="s"/>
      <c r="G1408" t="s"/>
      <c r="H1408" t="s"/>
      <c r="I1408" t="s"/>
      <c r="J1408" t="n">
        <v>0</v>
      </c>
      <c r="K1408" t="n">
        <v>0</v>
      </c>
      <c r="L1408" t="n">
        <v>1</v>
      </c>
      <c r="M1408" t="n">
        <v>0</v>
      </c>
    </row>
    <row r="1409" spans="1:13">
      <c r="A1409" s="1">
        <f>HYPERLINK("http://www.twitter.com/NathanBLawrence/status/955988494140301312", "955988494140301312")</f>
        <v/>
      </c>
      <c r="B1409" s="2" t="n">
        <v>43124.0971412037</v>
      </c>
      <c r="C1409" t="n">
        <v>2</v>
      </c>
      <c r="D1409" t="n">
        <v>0</v>
      </c>
      <c r="E1409" t="s">
        <v>1420</v>
      </c>
      <c r="F1409" t="s"/>
      <c r="G1409" t="s"/>
      <c r="H1409" t="s"/>
      <c r="I1409" t="s"/>
      <c r="J1409" t="n">
        <v>0.3724</v>
      </c>
      <c r="K1409" t="n">
        <v>0</v>
      </c>
      <c r="L1409" t="n">
        <v>0.701</v>
      </c>
      <c r="M1409" t="n">
        <v>0.299</v>
      </c>
    </row>
    <row r="1410" spans="1:13">
      <c r="A1410" s="1">
        <f>HYPERLINK("http://www.twitter.com/NathanBLawrence/status/955986366457884672", "955986366457884672")</f>
        <v/>
      </c>
      <c r="B1410" s="2" t="n">
        <v>43124.09126157407</v>
      </c>
      <c r="C1410" t="n">
        <v>3</v>
      </c>
      <c r="D1410" t="n">
        <v>0</v>
      </c>
      <c r="E1410" t="s">
        <v>1421</v>
      </c>
      <c r="F1410" t="s"/>
      <c r="G1410" t="s"/>
      <c r="H1410" t="s"/>
      <c r="I1410" t="s"/>
      <c r="J1410" t="n">
        <v>0</v>
      </c>
      <c r="K1410" t="n">
        <v>0</v>
      </c>
      <c r="L1410" t="n">
        <v>1</v>
      </c>
      <c r="M1410" t="n">
        <v>0</v>
      </c>
    </row>
    <row r="1411" spans="1:13">
      <c r="A1411" s="1">
        <f>HYPERLINK("http://www.twitter.com/NathanBLawrence/status/955985671210102784", "955985671210102784")</f>
        <v/>
      </c>
      <c r="B1411" s="2" t="n">
        <v>43124.08935185185</v>
      </c>
      <c r="C1411" t="n">
        <v>4</v>
      </c>
      <c r="D1411" t="n">
        <v>0</v>
      </c>
      <c r="E1411" t="s">
        <v>1422</v>
      </c>
      <c r="F1411" t="s"/>
      <c r="G1411" t="s"/>
      <c r="H1411" t="s"/>
      <c r="I1411" t="s"/>
      <c r="J1411" t="n">
        <v>0.1779</v>
      </c>
      <c r="K1411" t="n">
        <v>0.161</v>
      </c>
      <c r="L1411" t="n">
        <v>0.599</v>
      </c>
      <c r="M1411" t="n">
        <v>0.24</v>
      </c>
    </row>
    <row r="1412" spans="1:13">
      <c r="A1412" s="1">
        <f>HYPERLINK("http://www.twitter.com/NathanBLawrence/status/955984723075108868", "955984723075108868")</f>
        <v/>
      </c>
      <c r="B1412" s="2" t="n">
        <v>43124.08672453704</v>
      </c>
      <c r="C1412" t="n">
        <v>0</v>
      </c>
      <c r="D1412" t="n">
        <v>0</v>
      </c>
      <c r="E1412" t="s">
        <v>1423</v>
      </c>
      <c r="F1412" t="s"/>
      <c r="G1412" t="s"/>
      <c r="H1412" t="s"/>
      <c r="I1412" t="s"/>
      <c r="J1412" t="n">
        <v>0</v>
      </c>
      <c r="K1412" t="n">
        <v>0</v>
      </c>
      <c r="L1412" t="n">
        <v>1</v>
      </c>
      <c r="M1412" t="n">
        <v>0</v>
      </c>
    </row>
    <row r="1413" spans="1:13">
      <c r="A1413" s="1">
        <f>HYPERLINK("http://www.twitter.com/NathanBLawrence/status/955981542077140992", "955981542077140992")</f>
        <v/>
      </c>
      <c r="B1413" s="2" t="n">
        <v>43124.07795138889</v>
      </c>
      <c r="C1413" t="n">
        <v>1</v>
      </c>
      <c r="D1413" t="n">
        <v>0</v>
      </c>
      <c r="E1413" t="s">
        <v>1424</v>
      </c>
      <c r="F1413" t="s"/>
      <c r="G1413" t="s"/>
      <c r="H1413" t="s"/>
      <c r="I1413" t="s"/>
      <c r="J1413" t="n">
        <v>0.2263</v>
      </c>
      <c r="K1413" t="n">
        <v>0.246</v>
      </c>
      <c r="L1413" t="n">
        <v>0.462</v>
      </c>
      <c r="M1413" t="n">
        <v>0.292</v>
      </c>
    </row>
    <row r="1414" spans="1:13">
      <c r="A1414" s="1">
        <f>HYPERLINK("http://www.twitter.com/NathanBLawrence/status/955979813008834560", "955979813008834560")</f>
        <v/>
      </c>
      <c r="B1414" s="2" t="n">
        <v>43124.07318287037</v>
      </c>
      <c r="C1414" t="n">
        <v>5</v>
      </c>
      <c r="D1414" t="n">
        <v>0</v>
      </c>
      <c r="E1414" t="s">
        <v>1425</v>
      </c>
      <c r="F1414" t="s"/>
      <c r="G1414" t="s"/>
      <c r="H1414" t="s"/>
      <c r="I1414" t="s"/>
      <c r="J1414" t="n">
        <v>0</v>
      </c>
      <c r="K1414" t="n">
        <v>0</v>
      </c>
      <c r="L1414" t="n">
        <v>1</v>
      </c>
      <c r="M1414" t="n">
        <v>0</v>
      </c>
    </row>
    <row r="1415" spans="1:13">
      <c r="A1415" s="1">
        <f>HYPERLINK("http://www.twitter.com/NathanBLawrence/status/955975095956197376", "955975095956197376")</f>
        <v/>
      </c>
      <c r="B1415" s="2" t="n">
        <v>43124.06016203704</v>
      </c>
      <c r="C1415" t="n">
        <v>0</v>
      </c>
      <c r="D1415" t="n">
        <v>8</v>
      </c>
      <c r="E1415" t="s">
        <v>1426</v>
      </c>
      <c r="F1415" t="s"/>
      <c r="G1415" t="s"/>
      <c r="H1415" t="s"/>
      <c r="I1415" t="s"/>
      <c r="J1415" t="n">
        <v>0</v>
      </c>
      <c r="K1415" t="n">
        <v>0</v>
      </c>
      <c r="L1415" t="n">
        <v>1</v>
      </c>
      <c r="M1415" t="n">
        <v>0</v>
      </c>
    </row>
    <row r="1416" spans="1:13">
      <c r="A1416" s="1">
        <f>HYPERLINK("http://www.twitter.com/NathanBLawrence/status/955973585872572416", "955973585872572416")</f>
        <v/>
      </c>
      <c r="B1416" s="2" t="n">
        <v>43124.05599537037</v>
      </c>
      <c r="C1416" t="n">
        <v>0</v>
      </c>
      <c r="D1416" t="n">
        <v>2422</v>
      </c>
      <c r="E1416" t="s">
        <v>1427</v>
      </c>
      <c r="F1416" t="s"/>
      <c r="G1416" t="s"/>
      <c r="H1416" t="s"/>
      <c r="I1416" t="s"/>
      <c r="J1416" t="n">
        <v>-0.6124000000000001</v>
      </c>
      <c r="K1416" t="n">
        <v>0.25</v>
      </c>
      <c r="L1416" t="n">
        <v>0.75</v>
      </c>
      <c r="M1416" t="n">
        <v>0</v>
      </c>
    </row>
    <row r="1417" spans="1:13">
      <c r="A1417" s="1">
        <f>HYPERLINK("http://www.twitter.com/NathanBLawrence/status/955971850995159040", "955971850995159040")</f>
        <v/>
      </c>
      <c r="B1417" s="2" t="n">
        <v>43124.05121527778</v>
      </c>
      <c r="C1417" t="n">
        <v>7</v>
      </c>
      <c r="D1417" t="n">
        <v>2</v>
      </c>
      <c r="E1417" t="s">
        <v>1428</v>
      </c>
      <c r="F1417" t="s"/>
      <c r="G1417" t="s"/>
      <c r="H1417" t="s"/>
      <c r="I1417" t="s"/>
      <c r="J1417" t="n">
        <v>0</v>
      </c>
      <c r="K1417" t="n">
        <v>0</v>
      </c>
      <c r="L1417" t="n">
        <v>1</v>
      </c>
      <c r="M1417" t="n">
        <v>0</v>
      </c>
    </row>
    <row r="1418" spans="1:13">
      <c r="A1418" s="1">
        <f>HYPERLINK("http://www.twitter.com/NathanBLawrence/status/955959971178573824", "955959971178573824")</f>
        <v/>
      </c>
      <c r="B1418" s="2" t="n">
        <v>43124.01842592593</v>
      </c>
      <c r="C1418" t="n">
        <v>1</v>
      </c>
      <c r="D1418" t="n">
        <v>0</v>
      </c>
      <c r="E1418" t="s">
        <v>1429</v>
      </c>
      <c r="F1418" t="s"/>
      <c r="G1418" t="s"/>
      <c r="H1418" t="s"/>
      <c r="I1418" t="s"/>
      <c r="J1418" t="n">
        <v>0</v>
      </c>
      <c r="K1418" t="n">
        <v>0</v>
      </c>
      <c r="L1418" t="n">
        <v>1</v>
      </c>
      <c r="M1418" t="n">
        <v>0</v>
      </c>
    </row>
    <row r="1419" spans="1:13">
      <c r="A1419" s="1">
        <f>HYPERLINK("http://www.twitter.com/NathanBLawrence/status/955953123784314880", "955953123784314880")</f>
        <v/>
      </c>
      <c r="B1419" s="2" t="n">
        <v>43123.99953703704</v>
      </c>
      <c r="C1419" t="n">
        <v>1</v>
      </c>
      <c r="D1419" t="n">
        <v>0</v>
      </c>
      <c r="E1419" t="s">
        <v>1430</v>
      </c>
      <c r="F1419" t="s"/>
      <c r="G1419" t="s"/>
      <c r="H1419" t="s"/>
      <c r="I1419" t="s"/>
      <c r="J1419" t="n">
        <v>0</v>
      </c>
      <c r="K1419" t="n">
        <v>0</v>
      </c>
      <c r="L1419" t="n">
        <v>1</v>
      </c>
      <c r="M1419" t="n">
        <v>0</v>
      </c>
    </row>
    <row r="1420" spans="1:13">
      <c r="A1420" s="1">
        <f>HYPERLINK("http://www.twitter.com/NathanBLawrence/status/955908149285916672", "955908149285916672")</f>
        <v/>
      </c>
      <c r="B1420" s="2" t="n">
        <v>43123.87542824074</v>
      </c>
      <c r="C1420" t="n">
        <v>0</v>
      </c>
      <c r="D1420" t="n">
        <v>864</v>
      </c>
      <c r="E1420" t="s">
        <v>1431</v>
      </c>
      <c r="F1420" t="s"/>
      <c r="G1420" t="s"/>
      <c r="H1420" t="s"/>
      <c r="I1420" t="s"/>
      <c r="J1420" t="n">
        <v>0</v>
      </c>
      <c r="K1420" t="n">
        <v>0</v>
      </c>
      <c r="L1420" t="n">
        <v>1</v>
      </c>
      <c r="M1420" t="n">
        <v>0</v>
      </c>
    </row>
    <row r="1421" spans="1:13">
      <c r="A1421" s="1">
        <f>HYPERLINK("http://www.twitter.com/NathanBLawrence/status/955897836234821632", "955897836234821632")</f>
        <v/>
      </c>
      <c r="B1421" s="2" t="n">
        <v>43123.8469675926</v>
      </c>
      <c r="C1421" t="n">
        <v>0</v>
      </c>
      <c r="D1421" t="n">
        <v>2516</v>
      </c>
      <c r="E1421" t="s">
        <v>1432</v>
      </c>
      <c r="F1421">
        <f>HYPERLINK("http://pbs.twimg.com/media/DUP9RoYVoAAwfaV.jpg", "http://pbs.twimg.com/media/DUP9RoYVoAAwfaV.jpg")</f>
        <v/>
      </c>
      <c r="G1421" t="s"/>
      <c r="H1421" t="s"/>
      <c r="I1421" t="s"/>
      <c r="J1421" t="n">
        <v>0.4588</v>
      </c>
      <c r="K1421" t="n">
        <v>0</v>
      </c>
      <c r="L1421" t="n">
        <v>0.778</v>
      </c>
      <c r="M1421" t="n">
        <v>0.222</v>
      </c>
    </row>
    <row r="1422" spans="1:13">
      <c r="A1422" s="1">
        <f>HYPERLINK("http://www.twitter.com/NathanBLawrence/status/955860194558464000", "955860194558464000")</f>
        <v/>
      </c>
      <c r="B1422" s="2" t="n">
        <v>43123.74310185185</v>
      </c>
      <c r="C1422" t="n">
        <v>0</v>
      </c>
      <c r="D1422" t="n">
        <v>12517</v>
      </c>
      <c r="E1422" t="s">
        <v>1433</v>
      </c>
      <c r="F1422">
        <f>HYPERLINK("http://pbs.twimg.com/media/DUPK7yFVMAEK5aZ.jpg", "http://pbs.twimg.com/media/DUPK7yFVMAEK5aZ.jpg")</f>
        <v/>
      </c>
      <c r="G1422">
        <f>HYPERLINK("http://pbs.twimg.com/media/DUPK8QOVQAEeiwW.jpg", "http://pbs.twimg.com/media/DUPK8QOVQAEeiwW.jpg")</f>
        <v/>
      </c>
      <c r="H1422">
        <f>HYPERLINK("http://pbs.twimg.com/media/DUPK8kzU0AALdZx.jpg", "http://pbs.twimg.com/media/DUPK8kzU0AALdZx.jpg")</f>
        <v/>
      </c>
      <c r="I1422" t="s"/>
      <c r="J1422" t="n">
        <v>0</v>
      </c>
      <c r="K1422" t="n">
        <v>0</v>
      </c>
      <c r="L1422" t="n">
        <v>1</v>
      </c>
      <c r="M1422" t="n">
        <v>0</v>
      </c>
    </row>
    <row r="1423" spans="1:13">
      <c r="A1423" s="1">
        <f>HYPERLINK("http://www.twitter.com/NathanBLawrence/status/955858893036453894", "955858893036453894")</f>
        <v/>
      </c>
      <c r="B1423" s="2" t="n">
        <v>43123.73950231481</v>
      </c>
      <c r="C1423" t="n">
        <v>0</v>
      </c>
      <c r="D1423" t="n">
        <v>28</v>
      </c>
      <c r="E1423" t="s">
        <v>1434</v>
      </c>
      <c r="F1423" t="s"/>
      <c r="G1423" t="s"/>
      <c r="H1423" t="s"/>
      <c r="I1423" t="s"/>
      <c r="J1423" t="n">
        <v>0.5266999999999999</v>
      </c>
      <c r="K1423" t="n">
        <v>0</v>
      </c>
      <c r="L1423" t="n">
        <v>0.746</v>
      </c>
      <c r="M1423" t="n">
        <v>0.254</v>
      </c>
    </row>
    <row r="1424" spans="1:13">
      <c r="A1424" s="1">
        <f>HYPERLINK("http://www.twitter.com/NathanBLawrence/status/955858791022637056", "955858791022637056")</f>
        <v/>
      </c>
      <c r="B1424" s="2" t="n">
        <v>43123.73922453704</v>
      </c>
      <c r="C1424" t="n">
        <v>0</v>
      </c>
      <c r="D1424" t="n">
        <v>21</v>
      </c>
      <c r="E1424" t="s">
        <v>1435</v>
      </c>
      <c r="F1424" t="s"/>
      <c r="G1424" t="s"/>
      <c r="H1424" t="s"/>
      <c r="I1424" t="s"/>
      <c r="J1424" t="n">
        <v>0.2225</v>
      </c>
      <c r="K1424" t="n">
        <v>0</v>
      </c>
      <c r="L1424" t="n">
        <v>0.918</v>
      </c>
      <c r="M1424" t="n">
        <v>0.082</v>
      </c>
    </row>
    <row r="1425" spans="1:13">
      <c r="A1425" s="1">
        <f>HYPERLINK("http://www.twitter.com/NathanBLawrence/status/955858767358414848", "955858767358414848")</f>
        <v/>
      </c>
      <c r="B1425" s="2" t="n">
        <v>43123.73915509259</v>
      </c>
      <c r="C1425" t="n">
        <v>0</v>
      </c>
      <c r="D1425" t="n">
        <v>14</v>
      </c>
      <c r="E1425" t="s">
        <v>1436</v>
      </c>
      <c r="F1425" t="s"/>
      <c r="G1425" t="s"/>
      <c r="H1425" t="s"/>
      <c r="I1425" t="s"/>
      <c r="J1425" t="n">
        <v>0.3818</v>
      </c>
      <c r="K1425" t="n">
        <v>0</v>
      </c>
      <c r="L1425" t="n">
        <v>0.833</v>
      </c>
      <c r="M1425" t="n">
        <v>0.167</v>
      </c>
    </row>
    <row r="1426" spans="1:13">
      <c r="A1426" s="1">
        <f>HYPERLINK("http://www.twitter.com/NathanBLawrence/status/955858731341934593", "955858731341934593")</f>
        <v/>
      </c>
      <c r="B1426" s="2" t="n">
        <v>43123.7390625</v>
      </c>
      <c r="C1426" t="n">
        <v>0</v>
      </c>
      <c r="D1426" t="n">
        <v>4</v>
      </c>
      <c r="E1426" t="s">
        <v>1437</v>
      </c>
      <c r="F1426" t="s"/>
      <c r="G1426" t="s"/>
      <c r="H1426" t="s"/>
      <c r="I1426" t="s"/>
      <c r="J1426" t="n">
        <v>0</v>
      </c>
      <c r="K1426" t="n">
        <v>0</v>
      </c>
      <c r="L1426" t="n">
        <v>1</v>
      </c>
      <c r="M1426" t="n">
        <v>0</v>
      </c>
    </row>
    <row r="1427" spans="1:13">
      <c r="A1427" s="1">
        <f>HYPERLINK("http://www.twitter.com/NathanBLawrence/status/955858714577326080", "955858714577326080")</f>
        <v/>
      </c>
      <c r="B1427" s="2" t="n">
        <v>43123.7390162037</v>
      </c>
      <c r="C1427" t="n">
        <v>0</v>
      </c>
      <c r="D1427" t="n">
        <v>10</v>
      </c>
      <c r="E1427" t="s">
        <v>1438</v>
      </c>
      <c r="F1427" t="s"/>
      <c r="G1427" t="s"/>
      <c r="H1427" t="s"/>
      <c r="I1427" t="s"/>
      <c r="J1427" t="n">
        <v>0.6249</v>
      </c>
      <c r="K1427" t="n">
        <v>0.146</v>
      </c>
      <c r="L1427" t="n">
        <v>0.516</v>
      </c>
      <c r="M1427" t="n">
        <v>0.338</v>
      </c>
    </row>
    <row r="1428" spans="1:13">
      <c r="A1428" s="1">
        <f>HYPERLINK("http://www.twitter.com/NathanBLawrence/status/955858688417419264", "955858688417419264")</f>
        <v/>
      </c>
      <c r="B1428" s="2" t="n">
        <v>43123.73893518518</v>
      </c>
      <c r="C1428" t="n">
        <v>0</v>
      </c>
      <c r="D1428" t="n">
        <v>4</v>
      </c>
      <c r="E1428" t="s">
        <v>1439</v>
      </c>
      <c r="F1428" t="s"/>
      <c r="G1428" t="s"/>
      <c r="H1428" t="s"/>
      <c r="I1428" t="s"/>
      <c r="J1428" t="n">
        <v>-0.6269</v>
      </c>
      <c r="K1428" t="n">
        <v>0.195</v>
      </c>
      <c r="L1428" t="n">
        <v>0.805</v>
      </c>
      <c r="M1428" t="n">
        <v>0</v>
      </c>
    </row>
    <row r="1429" spans="1:13">
      <c r="A1429" s="1">
        <f>HYPERLINK("http://www.twitter.com/NathanBLawrence/status/955858554027757569", "955858554027757569")</f>
        <v/>
      </c>
      <c r="B1429" s="2" t="n">
        <v>43123.73856481481</v>
      </c>
      <c r="C1429" t="n">
        <v>0</v>
      </c>
      <c r="D1429" t="n">
        <v>0</v>
      </c>
      <c r="E1429" t="s">
        <v>1440</v>
      </c>
      <c r="F1429" t="s"/>
      <c r="G1429" t="s"/>
      <c r="H1429" t="s"/>
      <c r="I1429" t="s"/>
      <c r="J1429" t="n">
        <v>-0.8061</v>
      </c>
      <c r="K1429" t="n">
        <v>0.267</v>
      </c>
      <c r="L1429" t="n">
        <v>0.733</v>
      </c>
      <c r="M1429" t="n">
        <v>0</v>
      </c>
    </row>
    <row r="1430" spans="1:13">
      <c r="A1430" s="1">
        <f>HYPERLINK("http://www.twitter.com/NathanBLawrence/status/955856308254728193", "955856308254728193")</f>
        <v/>
      </c>
      <c r="B1430" s="2" t="n">
        <v>43123.73237268518</v>
      </c>
      <c r="C1430" t="n">
        <v>0</v>
      </c>
      <c r="D1430" t="n">
        <v>35578</v>
      </c>
      <c r="E1430" t="s">
        <v>1441</v>
      </c>
      <c r="F1430" t="s"/>
      <c r="G1430" t="s"/>
      <c r="H1430" t="s"/>
      <c r="I1430" t="s"/>
      <c r="J1430" t="n">
        <v>0.4767</v>
      </c>
      <c r="K1430" t="n">
        <v>0.075</v>
      </c>
      <c r="L1430" t="n">
        <v>0.746</v>
      </c>
      <c r="M1430" t="n">
        <v>0.18</v>
      </c>
    </row>
    <row r="1431" spans="1:13">
      <c r="A1431" s="1">
        <f>HYPERLINK("http://www.twitter.com/NathanBLawrence/status/955842162243133442", "955842162243133442")</f>
        <v/>
      </c>
      <c r="B1431" s="2" t="n">
        <v>43123.69333333334</v>
      </c>
      <c r="C1431" t="n">
        <v>0</v>
      </c>
      <c r="D1431" t="n">
        <v>0</v>
      </c>
      <c r="E1431" t="s">
        <v>1442</v>
      </c>
      <c r="F1431" t="s"/>
      <c r="G1431" t="s"/>
      <c r="H1431" t="s"/>
      <c r="I1431" t="s"/>
      <c r="J1431" t="n">
        <v>0.7163</v>
      </c>
      <c r="K1431" t="n">
        <v>0</v>
      </c>
      <c r="L1431" t="n">
        <v>0.446</v>
      </c>
      <c r="M1431" t="n">
        <v>0.554</v>
      </c>
    </row>
    <row r="1432" spans="1:13">
      <c r="A1432" s="1">
        <f>HYPERLINK("http://www.twitter.com/NathanBLawrence/status/955837323370954753", "955837323370954753")</f>
        <v/>
      </c>
      <c r="B1432" s="2" t="n">
        <v>43123.67998842592</v>
      </c>
      <c r="C1432" t="n">
        <v>0</v>
      </c>
      <c r="D1432" t="n">
        <v>1325</v>
      </c>
      <c r="E1432" t="s">
        <v>1443</v>
      </c>
      <c r="F1432" t="s"/>
      <c r="G1432" t="s"/>
      <c r="H1432" t="s"/>
      <c r="I1432" t="s"/>
      <c r="J1432" t="n">
        <v>-0.296</v>
      </c>
      <c r="K1432" t="n">
        <v>0.115</v>
      </c>
      <c r="L1432" t="n">
        <v>0.885</v>
      </c>
      <c r="M1432" t="n">
        <v>0</v>
      </c>
    </row>
    <row r="1433" spans="1:13">
      <c r="A1433" s="1">
        <f>HYPERLINK("http://www.twitter.com/NathanBLawrence/status/955836573190447105", "955836573190447105")</f>
        <v/>
      </c>
      <c r="B1433" s="2" t="n">
        <v>43123.67791666667</v>
      </c>
      <c r="C1433" t="n">
        <v>0</v>
      </c>
      <c r="D1433" t="n">
        <v>3983</v>
      </c>
      <c r="E1433" t="s">
        <v>1444</v>
      </c>
      <c r="F1433">
        <f>HYPERLINK("http://pbs.twimg.com/media/DUMBtfgWkAEifnV.jpg", "http://pbs.twimg.com/media/DUMBtfgWkAEifnV.jpg")</f>
        <v/>
      </c>
      <c r="G1433" t="s"/>
      <c r="H1433" t="s"/>
      <c r="I1433" t="s"/>
      <c r="J1433" t="n">
        <v>0.8579</v>
      </c>
      <c r="K1433" t="n">
        <v>0.113</v>
      </c>
      <c r="L1433" t="n">
        <v>0.425</v>
      </c>
      <c r="M1433" t="n">
        <v>0.462</v>
      </c>
    </row>
    <row r="1434" spans="1:13">
      <c r="A1434" s="1">
        <f>HYPERLINK("http://www.twitter.com/NathanBLawrence/status/955831411285602306", "955831411285602306")</f>
        <v/>
      </c>
      <c r="B1434" s="2" t="n">
        <v>43123.66366898148</v>
      </c>
      <c r="C1434" t="n">
        <v>2</v>
      </c>
      <c r="D1434" t="n">
        <v>0</v>
      </c>
      <c r="E1434" t="s">
        <v>1445</v>
      </c>
      <c r="F1434" t="s"/>
      <c r="G1434" t="s"/>
      <c r="H1434" t="s"/>
      <c r="I1434" t="s"/>
      <c r="J1434" t="n">
        <v>-0.4019</v>
      </c>
      <c r="K1434" t="n">
        <v>0.162</v>
      </c>
      <c r="L1434" t="n">
        <v>0.838</v>
      </c>
      <c r="M1434" t="n">
        <v>0</v>
      </c>
    </row>
    <row r="1435" spans="1:13">
      <c r="A1435" s="1">
        <f>HYPERLINK("http://www.twitter.com/NathanBLawrence/status/955823491105918977", "955823491105918977")</f>
        <v/>
      </c>
      <c r="B1435" s="2" t="n">
        <v>43123.64181712963</v>
      </c>
      <c r="C1435" t="n">
        <v>0</v>
      </c>
      <c r="D1435" t="n">
        <v>0</v>
      </c>
      <c r="E1435" t="s">
        <v>1446</v>
      </c>
      <c r="F1435" t="s"/>
      <c r="G1435" t="s"/>
      <c r="H1435" t="s"/>
      <c r="I1435" t="s"/>
      <c r="J1435" t="n">
        <v>0</v>
      </c>
      <c r="K1435" t="n">
        <v>0</v>
      </c>
      <c r="L1435" t="n">
        <v>1</v>
      </c>
      <c r="M1435" t="n">
        <v>0</v>
      </c>
    </row>
    <row r="1436" spans="1:13">
      <c r="A1436" s="1">
        <f>HYPERLINK("http://www.twitter.com/NathanBLawrence/status/955822360250273792", "955822360250273792")</f>
        <v/>
      </c>
      <c r="B1436" s="2" t="n">
        <v>43123.63869212963</v>
      </c>
      <c r="C1436" t="n">
        <v>0</v>
      </c>
      <c r="D1436" t="n">
        <v>0</v>
      </c>
      <c r="E1436" t="s">
        <v>1447</v>
      </c>
      <c r="F1436" t="s"/>
      <c r="G1436" t="s"/>
      <c r="H1436" t="s"/>
      <c r="I1436" t="s"/>
      <c r="J1436" t="n">
        <v>0.5574</v>
      </c>
      <c r="K1436" t="n">
        <v>0</v>
      </c>
      <c r="L1436" t="n">
        <v>0.625</v>
      </c>
      <c r="M1436" t="n">
        <v>0.375</v>
      </c>
    </row>
    <row r="1437" spans="1:13">
      <c r="A1437" s="1">
        <f>HYPERLINK("http://www.twitter.com/NathanBLawrence/status/955822086555095040", "955822086555095040")</f>
        <v/>
      </c>
      <c r="B1437" s="2" t="n">
        <v>43123.63793981481</v>
      </c>
      <c r="C1437" t="n">
        <v>0</v>
      </c>
      <c r="D1437" t="n">
        <v>0</v>
      </c>
      <c r="E1437" t="s">
        <v>1448</v>
      </c>
      <c r="F1437" t="s"/>
      <c r="G1437" t="s"/>
      <c r="H1437" t="s"/>
      <c r="I1437" t="s"/>
      <c r="J1437" t="n">
        <v>-0.0772</v>
      </c>
      <c r="K1437" t="n">
        <v>0.294</v>
      </c>
      <c r="L1437" t="n">
        <v>0.428</v>
      </c>
      <c r="M1437" t="n">
        <v>0.278</v>
      </c>
    </row>
    <row r="1438" spans="1:13">
      <c r="A1438" s="1">
        <f>HYPERLINK("http://www.twitter.com/NathanBLawrence/status/955819739212910593", "955819739212910593")</f>
        <v/>
      </c>
      <c r="B1438" s="2" t="n">
        <v>43123.63145833334</v>
      </c>
      <c r="C1438" t="n">
        <v>0</v>
      </c>
      <c r="D1438" t="n">
        <v>74</v>
      </c>
      <c r="E1438" t="s">
        <v>1449</v>
      </c>
      <c r="F1438" t="s"/>
      <c r="G1438" t="s"/>
      <c r="H1438" t="s"/>
      <c r="I1438" t="s"/>
      <c r="J1438" t="n">
        <v>0</v>
      </c>
      <c r="K1438" t="n">
        <v>0</v>
      </c>
      <c r="L1438" t="n">
        <v>1</v>
      </c>
      <c r="M1438" t="n">
        <v>0</v>
      </c>
    </row>
    <row r="1439" spans="1:13">
      <c r="A1439" s="1">
        <f>HYPERLINK("http://www.twitter.com/NathanBLawrence/status/955819658124365825", "955819658124365825")</f>
        <v/>
      </c>
      <c r="B1439" s="2" t="n">
        <v>43123.63123842593</v>
      </c>
      <c r="C1439" t="n">
        <v>0</v>
      </c>
      <c r="D1439" t="n">
        <v>3</v>
      </c>
      <c r="E1439" t="s">
        <v>1450</v>
      </c>
      <c r="F1439">
        <f>HYPERLINK("http://pbs.twimg.com/media/DUPACaBUQAAAdKb.jpg", "http://pbs.twimg.com/media/DUPACaBUQAAAdKb.jpg")</f>
        <v/>
      </c>
      <c r="G1439" t="s"/>
      <c r="H1439" t="s"/>
      <c r="I1439" t="s"/>
      <c r="J1439" t="n">
        <v>-0.8225</v>
      </c>
      <c r="K1439" t="n">
        <v>0.381</v>
      </c>
      <c r="L1439" t="n">
        <v>0.619</v>
      </c>
      <c r="M1439" t="n">
        <v>0</v>
      </c>
    </row>
    <row r="1440" spans="1:13">
      <c r="A1440" s="1">
        <f>HYPERLINK("http://www.twitter.com/NathanBLawrence/status/955813850116444161", "955813850116444161")</f>
        <v/>
      </c>
      <c r="B1440" s="2" t="n">
        <v>43123.61520833334</v>
      </c>
      <c r="C1440" t="n">
        <v>0</v>
      </c>
      <c r="D1440" t="n">
        <v>5</v>
      </c>
      <c r="E1440" t="s">
        <v>1451</v>
      </c>
      <c r="F1440">
        <f>HYPERLINK("http://pbs.twimg.com/media/DUO5o0iXcAAaSzL.jpg", "http://pbs.twimg.com/media/DUO5o0iXcAAaSzL.jpg")</f>
        <v/>
      </c>
      <c r="G1440" t="s"/>
      <c r="H1440" t="s"/>
      <c r="I1440" t="s"/>
      <c r="J1440" t="n">
        <v>-0.765</v>
      </c>
      <c r="K1440" t="n">
        <v>0.258</v>
      </c>
      <c r="L1440" t="n">
        <v>0.742</v>
      </c>
      <c r="M1440" t="n">
        <v>0</v>
      </c>
    </row>
    <row r="1441" spans="1:13">
      <c r="A1441" s="1">
        <f>HYPERLINK("http://www.twitter.com/NathanBLawrence/status/955813631517773828", "955813631517773828")</f>
        <v/>
      </c>
      <c r="B1441" s="2" t="n">
        <v>43123.61460648148</v>
      </c>
      <c r="C1441" t="n">
        <v>0</v>
      </c>
      <c r="D1441" t="n">
        <v>7</v>
      </c>
      <c r="E1441" t="s">
        <v>1452</v>
      </c>
      <c r="F1441" t="s"/>
      <c r="G1441" t="s"/>
      <c r="H1441" t="s"/>
      <c r="I1441" t="s"/>
      <c r="J1441" t="n">
        <v>-0.5266999999999999</v>
      </c>
      <c r="K1441" t="n">
        <v>0.246</v>
      </c>
      <c r="L1441" t="n">
        <v>0.672</v>
      </c>
      <c r="M1441" t="n">
        <v>0.082</v>
      </c>
    </row>
    <row r="1442" spans="1:13">
      <c r="A1442" s="1">
        <f>HYPERLINK("http://www.twitter.com/NathanBLawrence/status/955812891793543168", "955812891793543168")</f>
        <v/>
      </c>
      <c r="B1442" s="2" t="n">
        <v>43123.61256944444</v>
      </c>
      <c r="C1442" t="n">
        <v>0</v>
      </c>
      <c r="D1442" t="n">
        <v>0</v>
      </c>
      <c r="E1442" t="s">
        <v>1453</v>
      </c>
      <c r="F1442" t="s"/>
      <c r="G1442" t="s"/>
      <c r="H1442" t="s"/>
      <c r="I1442" t="s"/>
      <c r="J1442" t="n">
        <v>-0.4404</v>
      </c>
      <c r="K1442" t="n">
        <v>0.153</v>
      </c>
      <c r="L1442" t="n">
        <v>0.847</v>
      </c>
      <c r="M1442" t="n">
        <v>0</v>
      </c>
    </row>
    <row r="1443" spans="1:13">
      <c r="A1443" s="1">
        <f>HYPERLINK("http://www.twitter.com/NathanBLawrence/status/955803606258782208", "955803606258782208")</f>
        <v/>
      </c>
      <c r="B1443" s="2" t="n">
        <v>43123.58694444445</v>
      </c>
      <c r="C1443" t="n">
        <v>0</v>
      </c>
      <c r="D1443" t="n">
        <v>0</v>
      </c>
      <c r="E1443" t="s">
        <v>1454</v>
      </c>
      <c r="F1443" t="s"/>
      <c r="G1443" t="s"/>
      <c r="H1443" t="s"/>
      <c r="I1443" t="s"/>
      <c r="J1443" t="n">
        <v>-0.6808</v>
      </c>
      <c r="K1443" t="n">
        <v>0.444</v>
      </c>
      <c r="L1443" t="n">
        <v>0.556</v>
      </c>
      <c r="M1443" t="n">
        <v>0</v>
      </c>
    </row>
    <row r="1444" spans="1:13">
      <c r="A1444" s="1">
        <f>HYPERLINK("http://www.twitter.com/NathanBLawrence/status/955637692309626880", "955637692309626880")</f>
        <v/>
      </c>
      <c r="B1444" s="2" t="n">
        <v>43123.1291087963</v>
      </c>
      <c r="C1444" t="n">
        <v>1</v>
      </c>
      <c r="D1444" t="n">
        <v>0</v>
      </c>
      <c r="E1444" t="s">
        <v>1455</v>
      </c>
      <c r="F1444" t="s"/>
      <c r="G1444" t="s"/>
      <c r="H1444" t="s"/>
      <c r="I1444" t="s"/>
      <c r="J1444" t="n">
        <v>0.8472</v>
      </c>
      <c r="K1444" t="n">
        <v>0</v>
      </c>
      <c r="L1444" t="n">
        <v>0.579</v>
      </c>
      <c r="M1444" t="n">
        <v>0.421</v>
      </c>
    </row>
    <row r="1445" spans="1:13">
      <c r="A1445" s="1">
        <f>HYPERLINK("http://www.twitter.com/NathanBLawrence/status/955635124133154817", "955635124133154817")</f>
        <v/>
      </c>
      <c r="B1445" s="2" t="n">
        <v>43123.12202546297</v>
      </c>
      <c r="C1445" t="n">
        <v>0</v>
      </c>
      <c r="D1445" t="n">
        <v>0</v>
      </c>
      <c r="E1445" t="s">
        <v>1456</v>
      </c>
      <c r="F1445" t="s"/>
      <c r="G1445" t="s"/>
      <c r="H1445" t="s"/>
      <c r="I1445" t="s"/>
      <c r="J1445" t="n">
        <v>0.1531</v>
      </c>
      <c r="K1445" t="n">
        <v>0</v>
      </c>
      <c r="L1445" t="n">
        <v>0.862</v>
      </c>
      <c r="M1445" t="n">
        <v>0.138</v>
      </c>
    </row>
    <row r="1446" spans="1:13">
      <c r="A1446" s="1">
        <f>HYPERLINK("http://www.twitter.com/NathanBLawrence/status/955629599458824192", "955629599458824192")</f>
        <v/>
      </c>
      <c r="B1446" s="2" t="n">
        <v>43123.10677083334</v>
      </c>
      <c r="C1446" t="n">
        <v>5</v>
      </c>
      <c r="D1446" t="n">
        <v>3</v>
      </c>
      <c r="E1446" t="s">
        <v>1457</v>
      </c>
      <c r="F1446" t="s"/>
      <c r="G1446" t="s"/>
      <c r="H1446" t="s"/>
      <c r="I1446" t="s"/>
      <c r="J1446" t="n">
        <v>-0.6705</v>
      </c>
      <c r="K1446" t="n">
        <v>0.379</v>
      </c>
      <c r="L1446" t="n">
        <v>0.621</v>
      </c>
      <c r="M1446" t="n">
        <v>0</v>
      </c>
    </row>
    <row r="1447" spans="1:13">
      <c r="A1447" s="1">
        <f>HYPERLINK("http://www.twitter.com/NathanBLawrence/status/955628839220187136", "955628839220187136")</f>
        <v/>
      </c>
      <c r="B1447" s="2" t="n">
        <v>43123.10467592593</v>
      </c>
      <c r="C1447" t="n">
        <v>0</v>
      </c>
      <c r="D1447" t="n">
        <v>1070</v>
      </c>
      <c r="E1447" t="s">
        <v>1458</v>
      </c>
      <c r="F1447" t="s"/>
      <c r="G1447" t="s"/>
      <c r="H1447" t="s"/>
      <c r="I1447" t="s"/>
      <c r="J1447" t="n">
        <v>-0.5106000000000001</v>
      </c>
      <c r="K1447" t="n">
        <v>0.148</v>
      </c>
      <c r="L1447" t="n">
        <v>0.852</v>
      </c>
      <c r="M1447" t="n">
        <v>0</v>
      </c>
    </row>
    <row r="1448" spans="1:13">
      <c r="A1448" s="1">
        <f>HYPERLINK("http://www.twitter.com/NathanBLawrence/status/955626784233582593", "955626784233582593")</f>
        <v/>
      </c>
      <c r="B1448" s="2" t="n">
        <v>43123.09900462963</v>
      </c>
      <c r="C1448" t="n">
        <v>7</v>
      </c>
      <c r="D1448" t="n">
        <v>2</v>
      </c>
      <c r="E1448" t="s">
        <v>1459</v>
      </c>
      <c r="F1448" t="s"/>
      <c r="G1448" t="s"/>
      <c r="H1448" t="s"/>
      <c r="I1448" t="s"/>
      <c r="J1448" t="n">
        <v>0</v>
      </c>
      <c r="K1448" t="n">
        <v>0</v>
      </c>
      <c r="L1448" t="n">
        <v>1</v>
      </c>
      <c r="M1448" t="n">
        <v>0</v>
      </c>
    </row>
    <row r="1449" spans="1:13">
      <c r="A1449" s="1">
        <f>HYPERLINK("http://www.twitter.com/NathanBLawrence/status/955625362460958720", "955625362460958720")</f>
        <v/>
      </c>
      <c r="B1449" s="2" t="n">
        <v>43123.09508101852</v>
      </c>
      <c r="C1449" t="n">
        <v>1</v>
      </c>
      <c r="D1449" t="n">
        <v>0</v>
      </c>
      <c r="E1449" t="s">
        <v>1460</v>
      </c>
      <c r="F1449" t="s"/>
      <c r="G1449" t="s"/>
      <c r="H1449" t="s"/>
      <c r="I1449" t="s"/>
      <c r="J1449" t="n">
        <v>0</v>
      </c>
      <c r="K1449" t="n">
        <v>0</v>
      </c>
      <c r="L1449" t="n">
        <v>1</v>
      </c>
      <c r="M1449" t="n">
        <v>0</v>
      </c>
    </row>
    <row r="1450" spans="1:13">
      <c r="A1450" s="1">
        <f>HYPERLINK("http://www.twitter.com/NathanBLawrence/status/955624948067946496", "955624948067946496")</f>
        <v/>
      </c>
      <c r="B1450" s="2" t="n">
        <v>43123.09393518518</v>
      </c>
      <c r="C1450" t="n">
        <v>1</v>
      </c>
      <c r="D1450" t="n">
        <v>0</v>
      </c>
      <c r="E1450" t="s">
        <v>1461</v>
      </c>
      <c r="F1450" t="s"/>
      <c r="G1450" t="s"/>
      <c r="H1450" t="s"/>
      <c r="I1450" t="s"/>
      <c r="J1450" t="n">
        <v>0.7067</v>
      </c>
      <c r="K1450" t="n">
        <v>0</v>
      </c>
      <c r="L1450" t="n">
        <v>0.46</v>
      </c>
      <c r="M1450" t="n">
        <v>0.54</v>
      </c>
    </row>
    <row r="1451" spans="1:13">
      <c r="A1451" s="1">
        <f>HYPERLINK("http://www.twitter.com/NathanBLawrence/status/955624579891855360", "955624579891855360")</f>
        <v/>
      </c>
      <c r="B1451" s="2" t="n">
        <v>43123.09292824074</v>
      </c>
      <c r="C1451" t="n">
        <v>9</v>
      </c>
      <c r="D1451" t="n">
        <v>2</v>
      </c>
      <c r="E1451" t="s">
        <v>1462</v>
      </c>
      <c r="F1451" t="s"/>
      <c r="G1451" t="s"/>
      <c r="H1451" t="s"/>
      <c r="I1451" t="s"/>
      <c r="J1451" t="n">
        <v>0</v>
      </c>
      <c r="K1451" t="n">
        <v>0</v>
      </c>
      <c r="L1451" t="n">
        <v>1</v>
      </c>
      <c r="M1451" t="n">
        <v>0</v>
      </c>
    </row>
    <row r="1452" spans="1:13">
      <c r="A1452" s="1">
        <f>HYPERLINK("http://www.twitter.com/NathanBLawrence/status/955623217334505473", "955623217334505473")</f>
        <v/>
      </c>
      <c r="B1452" s="2" t="n">
        <v>43123.08916666666</v>
      </c>
      <c r="C1452" t="n">
        <v>1</v>
      </c>
      <c r="D1452" t="n">
        <v>1</v>
      </c>
      <c r="E1452" t="s">
        <v>1463</v>
      </c>
      <c r="F1452" t="s"/>
      <c r="G1452" t="s"/>
      <c r="H1452" t="s"/>
      <c r="I1452" t="s"/>
      <c r="J1452" t="n">
        <v>0</v>
      </c>
      <c r="K1452" t="n">
        <v>0</v>
      </c>
      <c r="L1452" t="n">
        <v>1</v>
      </c>
      <c r="M1452" t="n">
        <v>0</v>
      </c>
    </row>
    <row r="1453" spans="1:13">
      <c r="A1453" s="1">
        <f>HYPERLINK("http://www.twitter.com/NathanBLawrence/status/955622967781752832", "955622967781752832")</f>
        <v/>
      </c>
      <c r="B1453" s="2" t="n">
        <v>43123.08847222223</v>
      </c>
      <c r="C1453" t="n">
        <v>0</v>
      </c>
      <c r="D1453" t="n">
        <v>11</v>
      </c>
      <c r="E1453" t="s">
        <v>1464</v>
      </c>
      <c r="F1453" t="s"/>
      <c r="G1453" t="s"/>
      <c r="H1453" t="s"/>
      <c r="I1453" t="s"/>
      <c r="J1453" t="n">
        <v>0</v>
      </c>
      <c r="K1453" t="n">
        <v>0</v>
      </c>
      <c r="L1453" t="n">
        <v>1</v>
      </c>
      <c r="M1453" t="n">
        <v>0</v>
      </c>
    </row>
    <row r="1454" spans="1:13">
      <c r="A1454" s="1">
        <f>HYPERLINK("http://www.twitter.com/NathanBLawrence/status/955622576289697793", "955622576289697793")</f>
        <v/>
      </c>
      <c r="B1454" s="2" t="n">
        <v>43123.08739583333</v>
      </c>
      <c r="C1454" t="n">
        <v>0</v>
      </c>
      <c r="D1454" t="n">
        <v>0</v>
      </c>
      <c r="E1454" t="s">
        <v>1465</v>
      </c>
      <c r="F1454" t="s"/>
      <c r="G1454" t="s"/>
      <c r="H1454" t="s"/>
      <c r="I1454" t="s"/>
      <c r="J1454" t="n">
        <v>0</v>
      </c>
      <c r="K1454" t="n">
        <v>0</v>
      </c>
      <c r="L1454" t="n">
        <v>1</v>
      </c>
      <c r="M1454" t="n">
        <v>0</v>
      </c>
    </row>
    <row r="1455" spans="1:13">
      <c r="A1455" s="1">
        <f>HYPERLINK("http://www.twitter.com/NathanBLawrence/status/955621687667712000", "955621687667712000")</f>
        <v/>
      </c>
      <c r="B1455" s="2" t="n">
        <v>43123.08494212963</v>
      </c>
      <c r="C1455" t="n">
        <v>0</v>
      </c>
      <c r="D1455" t="n">
        <v>0</v>
      </c>
      <c r="E1455" t="s">
        <v>1466</v>
      </c>
      <c r="F1455" t="s"/>
      <c r="G1455" t="s"/>
      <c r="H1455" t="s"/>
      <c r="I1455" t="s"/>
      <c r="J1455" t="n">
        <v>-0.5994</v>
      </c>
      <c r="K1455" t="n">
        <v>0.262</v>
      </c>
      <c r="L1455" t="n">
        <v>0.738</v>
      </c>
      <c r="M1455" t="n">
        <v>0</v>
      </c>
    </row>
    <row r="1456" spans="1:13">
      <c r="A1456" s="1">
        <f>HYPERLINK("http://www.twitter.com/NathanBLawrence/status/955507056743800833", "955507056743800833")</f>
        <v/>
      </c>
      <c r="B1456" s="2" t="n">
        <v>43122.76862268519</v>
      </c>
      <c r="C1456" t="n">
        <v>1</v>
      </c>
      <c r="D1456" t="n">
        <v>0</v>
      </c>
      <c r="E1456" t="s">
        <v>1467</v>
      </c>
      <c r="F1456" t="s"/>
      <c r="G1456" t="s"/>
      <c r="H1456" t="s"/>
      <c r="I1456" t="s"/>
      <c r="J1456" t="n">
        <v>0</v>
      </c>
      <c r="K1456" t="n">
        <v>0</v>
      </c>
      <c r="L1456" t="n">
        <v>1</v>
      </c>
      <c r="M1456" t="n">
        <v>0</v>
      </c>
    </row>
    <row r="1457" spans="1:13">
      <c r="A1457" s="1">
        <f>HYPERLINK("http://www.twitter.com/NathanBLawrence/status/955506250787287040", "955506250787287040")</f>
        <v/>
      </c>
      <c r="B1457" s="2" t="n">
        <v>43122.76640046296</v>
      </c>
      <c r="C1457" t="n">
        <v>0</v>
      </c>
      <c r="D1457" t="n">
        <v>608</v>
      </c>
      <c r="E1457" t="s">
        <v>1468</v>
      </c>
      <c r="F1457" t="s"/>
      <c r="G1457" t="s"/>
      <c r="H1457" t="s"/>
      <c r="I1457" t="s"/>
      <c r="J1457" t="n">
        <v>0.8494</v>
      </c>
      <c r="K1457" t="n">
        <v>0</v>
      </c>
      <c r="L1457" t="n">
        <v>0.718</v>
      </c>
      <c r="M1457" t="n">
        <v>0.282</v>
      </c>
    </row>
    <row r="1458" spans="1:13">
      <c r="A1458" s="1">
        <f>HYPERLINK("http://www.twitter.com/NathanBLawrence/status/955500258028552193", "955500258028552193")</f>
        <v/>
      </c>
      <c r="B1458" s="2" t="n">
        <v>43122.74986111111</v>
      </c>
      <c r="C1458" t="n">
        <v>0</v>
      </c>
      <c r="D1458" t="n">
        <v>0</v>
      </c>
      <c r="E1458" t="s">
        <v>1469</v>
      </c>
      <c r="F1458" t="s"/>
      <c r="G1458" t="s"/>
      <c r="H1458" t="s"/>
      <c r="I1458" t="s"/>
      <c r="J1458" t="n">
        <v>0.5673</v>
      </c>
      <c r="K1458" t="n">
        <v>0.137</v>
      </c>
      <c r="L1458" t="n">
        <v>0.5600000000000001</v>
      </c>
      <c r="M1458" t="n">
        <v>0.303</v>
      </c>
    </row>
    <row r="1459" spans="1:13">
      <c r="A1459" s="1">
        <f>HYPERLINK("http://www.twitter.com/NathanBLawrence/status/955499794092478464", "955499794092478464")</f>
        <v/>
      </c>
      <c r="B1459" s="2" t="n">
        <v>43122.74857638889</v>
      </c>
      <c r="C1459" t="n">
        <v>5</v>
      </c>
      <c r="D1459" t="n">
        <v>3</v>
      </c>
      <c r="E1459" t="s">
        <v>1470</v>
      </c>
      <c r="F1459" t="s"/>
      <c r="G1459" t="s"/>
      <c r="H1459" t="s"/>
      <c r="I1459" t="s"/>
      <c r="J1459" t="n">
        <v>0.4153</v>
      </c>
      <c r="K1459" t="n">
        <v>0.104</v>
      </c>
      <c r="L1459" t="n">
        <v>0.709</v>
      </c>
      <c r="M1459" t="n">
        <v>0.187</v>
      </c>
    </row>
    <row r="1460" spans="1:13">
      <c r="A1460" s="1">
        <f>HYPERLINK("http://www.twitter.com/NathanBLawrence/status/955485726178775040", "955485726178775040")</f>
        <v/>
      </c>
      <c r="B1460" s="2" t="n">
        <v>43122.70975694444</v>
      </c>
      <c r="C1460" t="n">
        <v>0</v>
      </c>
      <c r="D1460" t="n">
        <v>0</v>
      </c>
      <c r="E1460" t="s">
        <v>1471</v>
      </c>
      <c r="F1460" t="s"/>
      <c r="G1460" t="s"/>
      <c r="H1460" t="s"/>
      <c r="I1460" t="s"/>
      <c r="J1460" t="n">
        <v>0</v>
      </c>
      <c r="K1460" t="n">
        <v>0</v>
      </c>
      <c r="L1460" t="n">
        <v>1</v>
      </c>
      <c r="M1460" t="n">
        <v>0</v>
      </c>
    </row>
    <row r="1461" spans="1:13">
      <c r="A1461" s="1">
        <f>HYPERLINK("http://www.twitter.com/NathanBLawrence/status/955473312884326400", "955473312884326400")</f>
        <v/>
      </c>
      <c r="B1461" s="2" t="n">
        <v>43122.67550925926</v>
      </c>
      <c r="C1461" t="n">
        <v>0</v>
      </c>
      <c r="D1461" t="n">
        <v>3</v>
      </c>
      <c r="E1461" t="s">
        <v>1472</v>
      </c>
      <c r="F1461" t="s"/>
      <c r="G1461" t="s"/>
      <c r="H1461" t="s"/>
      <c r="I1461" t="s"/>
      <c r="J1461" t="n">
        <v>-0.6121</v>
      </c>
      <c r="K1461" t="n">
        <v>0.239</v>
      </c>
      <c r="L1461" t="n">
        <v>0.672</v>
      </c>
      <c r="M1461" t="n">
        <v>0.09</v>
      </c>
    </row>
    <row r="1462" spans="1:13">
      <c r="A1462" s="1">
        <f>HYPERLINK("http://www.twitter.com/NathanBLawrence/status/955471227254124544", "955471227254124544")</f>
        <v/>
      </c>
      <c r="B1462" s="2" t="n">
        <v>43122.66975694444</v>
      </c>
      <c r="C1462" t="n">
        <v>4</v>
      </c>
      <c r="D1462" t="n">
        <v>4</v>
      </c>
      <c r="E1462" t="s">
        <v>1473</v>
      </c>
      <c r="F1462" t="s"/>
      <c r="G1462" t="s"/>
      <c r="H1462" t="s"/>
      <c r="I1462" t="s"/>
      <c r="J1462" t="n">
        <v>-0.1065</v>
      </c>
      <c r="K1462" t="n">
        <v>0.164</v>
      </c>
      <c r="L1462" t="n">
        <v>0.6879999999999999</v>
      </c>
      <c r="M1462" t="n">
        <v>0.148</v>
      </c>
    </row>
    <row r="1463" spans="1:13">
      <c r="A1463" s="1">
        <f>HYPERLINK("http://www.twitter.com/NathanBLawrence/status/955470507402555393", "955470507402555393")</f>
        <v/>
      </c>
      <c r="B1463" s="2" t="n">
        <v>43122.6677662037</v>
      </c>
      <c r="C1463" t="n">
        <v>1</v>
      </c>
      <c r="D1463" t="n">
        <v>0</v>
      </c>
      <c r="E1463" t="s">
        <v>1474</v>
      </c>
      <c r="F1463" t="s"/>
      <c r="G1463" t="s"/>
      <c r="H1463" t="s"/>
      <c r="I1463" t="s"/>
      <c r="J1463" t="n">
        <v>0</v>
      </c>
      <c r="K1463" t="n">
        <v>0</v>
      </c>
      <c r="L1463" t="n">
        <v>1</v>
      </c>
      <c r="M1463" t="n">
        <v>0</v>
      </c>
    </row>
    <row r="1464" spans="1:13">
      <c r="A1464" s="1">
        <f>HYPERLINK("http://www.twitter.com/NathanBLawrence/status/955468282550718464", "955468282550718464")</f>
        <v/>
      </c>
      <c r="B1464" s="2" t="n">
        <v>43122.66162037037</v>
      </c>
      <c r="C1464" t="n">
        <v>0</v>
      </c>
      <c r="D1464" t="n">
        <v>2</v>
      </c>
      <c r="E1464" t="s">
        <v>1475</v>
      </c>
      <c r="F1464" t="s"/>
      <c r="G1464" t="s"/>
      <c r="H1464" t="s"/>
      <c r="I1464" t="s"/>
      <c r="J1464" t="n">
        <v>0.5371</v>
      </c>
      <c r="K1464" t="n">
        <v>0</v>
      </c>
      <c r="L1464" t="n">
        <v>0.8100000000000001</v>
      </c>
      <c r="M1464" t="n">
        <v>0.19</v>
      </c>
    </row>
    <row r="1465" spans="1:13">
      <c r="A1465" s="1">
        <f>HYPERLINK("http://www.twitter.com/NathanBLawrence/status/955466091739873280", "955466091739873280")</f>
        <v/>
      </c>
      <c r="B1465" s="2" t="n">
        <v>43122.65557870371</v>
      </c>
      <c r="C1465" t="n">
        <v>0</v>
      </c>
      <c r="D1465" t="n">
        <v>1543</v>
      </c>
      <c r="E1465" t="s">
        <v>1476</v>
      </c>
      <c r="F1465" t="s"/>
      <c r="G1465" t="s"/>
      <c r="H1465" t="s"/>
      <c r="I1465" t="s"/>
      <c r="J1465" t="n">
        <v>-0.25</v>
      </c>
      <c r="K1465" t="n">
        <v>0.106</v>
      </c>
      <c r="L1465" t="n">
        <v>0.822</v>
      </c>
      <c r="M1465" t="n">
        <v>0.07199999999999999</v>
      </c>
    </row>
    <row r="1466" spans="1:13">
      <c r="A1466" s="1">
        <f>HYPERLINK("http://www.twitter.com/NathanBLawrence/status/955464356644491264", "955464356644491264")</f>
        <v/>
      </c>
      <c r="B1466" s="2" t="n">
        <v>43122.65078703704</v>
      </c>
      <c r="C1466" t="n">
        <v>0</v>
      </c>
      <c r="D1466" t="n">
        <v>0</v>
      </c>
      <c r="E1466" t="s">
        <v>1477</v>
      </c>
      <c r="F1466" t="s"/>
      <c r="G1466" t="s"/>
      <c r="H1466" t="s"/>
      <c r="I1466" t="s"/>
      <c r="J1466" t="n">
        <v>-0.2732</v>
      </c>
      <c r="K1466" t="n">
        <v>0.288</v>
      </c>
      <c r="L1466" t="n">
        <v>0.491</v>
      </c>
      <c r="M1466" t="n">
        <v>0.221</v>
      </c>
    </row>
    <row r="1467" spans="1:13">
      <c r="A1467" s="1">
        <f>HYPERLINK("http://www.twitter.com/NathanBLawrence/status/955408290644725763", "955408290644725763")</f>
        <v/>
      </c>
      <c r="B1467" s="2" t="n">
        <v>43122.49607638889</v>
      </c>
      <c r="C1467" t="n">
        <v>1</v>
      </c>
      <c r="D1467" t="n">
        <v>0</v>
      </c>
      <c r="E1467" t="s">
        <v>1478</v>
      </c>
      <c r="F1467" t="s"/>
      <c r="G1467" t="s"/>
      <c r="H1467" t="s"/>
      <c r="I1467" t="s"/>
      <c r="J1467" t="n">
        <v>0</v>
      </c>
      <c r="K1467" t="n">
        <v>0</v>
      </c>
      <c r="L1467" t="n">
        <v>1</v>
      </c>
      <c r="M1467" t="n">
        <v>0</v>
      </c>
    </row>
    <row r="1468" spans="1:13">
      <c r="A1468" s="1">
        <f>HYPERLINK("http://www.twitter.com/NathanBLawrence/status/955245402298748928", "955245402298748928")</f>
        <v/>
      </c>
      <c r="B1468" s="2" t="n">
        <v>43122.04659722222</v>
      </c>
      <c r="C1468" t="n">
        <v>0</v>
      </c>
      <c r="D1468" t="n">
        <v>0</v>
      </c>
      <c r="E1468" t="s">
        <v>1479</v>
      </c>
      <c r="F1468" t="s"/>
      <c r="G1468" t="s"/>
      <c r="H1468" t="s"/>
      <c r="I1468" t="s"/>
      <c r="J1468" t="n">
        <v>-0.4019</v>
      </c>
      <c r="K1468" t="n">
        <v>0.474</v>
      </c>
      <c r="L1468" t="n">
        <v>0.526</v>
      </c>
      <c r="M1468" t="n">
        <v>0</v>
      </c>
    </row>
    <row r="1469" spans="1:13">
      <c r="A1469" s="1">
        <f>HYPERLINK("http://www.twitter.com/NathanBLawrence/status/955157876120670209", "955157876120670209")</f>
        <v/>
      </c>
      <c r="B1469" s="2" t="n">
        <v>43121.80506944445</v>
      </c>
      <c r="C1469" t="n">
        <v>0</v>
      </c>
      <c r="D1469" t="n">
        <v>2058</v>
      </c>
      <c r="E1469" t="s">
        <v>1480</v>
      </c>
      <c r="F1469" t="s"/>
      <c r="G1469" t="s"/>
      <c r="H1469" t="s"/>
      <c r="I1469" t="s"/>
      <c r="J1469" t="n">
        <v>-0.2263</v>
      </c>
      <c r="K1469" t="n">
        <v>0.091</v>
      </c>
      <c r="L1469" t="n">
        <v>0.909</v>
      </c>
      <c r="M1469" t="n">
        <v>0</v>
      </c>
    </row>
    <row r="1470" spans="1:13">
      <c r="A1470" s="1">
        <f>HYPERLINK("http://www.twitter.com/NathanBLawrence/status/955096015593508864", "955096015593508864")</f>
        <v/>
      </c>
      <c r="B1470" s="2" t="n">
        <v>43121.63436342592</v>
      </c>
      <c r="C1470" t="n">
        <v>0</v>
      </c>
      <c r="D1470" t="n">
        <v>0</v>
      </c>
      <c r="E1470" t="s">
        <v>1481</v>
      </c>
      <c r="F1470" t="s"/>
      <c r="G1470" t="s"/>
      <c r="H1470" t="s"/>
      <c r="I1470" t="s"/>
      <c r="J1470" t="n">
        <v>0.128</v>
      </c>
      <c r="K1470" t="n">
        <v>0.082</v>
      </c>
      <c r="L1470" t="n">
        <v>0.819</v>
      </c>
      <c r="M1470" t="n">
        <v>0.099</v>
      </c>
    </row>
    <row r="1471" spans="1:13">
      <c r="A1471" s="1">
        <f>HYPERLINK("http://www.twitter.com/NathanBLawrence/status/955093034122776578", "955093034122776578")</f>
        <v/>
      </c>
      <c r="B1471" s="2" t="n">
        <v>43121.62613425926</v>
      </c>
      <c r="C1471" t="n">
        <v>0</v>
      </c>
      <c r="D1471" t="n">
        <v>12938</v>
      </c>
      <c r="E1471" t="s">
        <v>1482</v>
      </c>
      <c r="F1471" t="s"/>
      <c r="G1471" t="s"/>
      <c r="H1471" t="s"/>
      <c r="I1471" t="s"/>
      <c r="J1471" t="n">
        <v>0</v>
      </c>
      <c r="K1471" t="n">
        <v>0</v>
      </c>
      <c r="L1471" t="n">
        <v>1</v>
      </c>
      <c r="M1471" t="n">
        <v>0</v>
      </c>
    </row>
    <row r="1472" spans="1:13">
      <c r="A1472" s="1">
        <f>HYPERLINK("http://www.twitter.com/NathanBLawrence/status/955092124311130112", "955092124311130112")</f>
        <v/>
      </c>
      <c r="B1472" s="2" t="n">
        <v>43121.62362268518</v>
      </c>
      <c r="C1472" t="n">
        <v>0</v>
      </c>
      <c r="D1472" t="n">
        <v>23854</v>
      </c>
      <c r="E1472" t="s">
        <v>1483</v>
      </c>
      <c r="F1472" t="s"/>
      <c r="G1472" t="s"/>
      <c r="H1472" t="s"/>
      <c r="I1472" t="s"/>
      <c r="J1472" t="n">
        <v>-0.5574</v>
      </c>
      <c r="K1472" t="n">
        <v>0.167</v>
      </c>
      <c r="L1472" t="n">
        <v>0.833</v>
      </c>
      <c r="M1472" t="n">
        <v>0</v>
      </c>
    </row>
    <row r="1473" spans="1:13">
      <c r="A1473" s="1">
        <f>HYPERLINK("http://www.twitter.com/NathanBLawrence/status/954900145082118144", "954900145082118144")</f>
        <v/>
      </c>
      <c r="B1473" s="2" t="n">
        <v>43121.09386574074</v>
      </c>
      <c r="C1473" t="n">
        <v>0</v>
      </c>
      <c r="D1473" t="n">
        <v>30811</v>
      </c>
      <c r="E1473" t="s">
        <v>1484</v>
      </c>
      <c r="F1473" t="s"/>
      <c r="G1473" t="s"/>
      <c r="H1473" t="s"/>
      <c r="I1473" t="s"/>
      <c r="J1473" t="n">
        <v>0</v>
      </c>
      <c r="K1473" t="n">
        <v>0</v>
      </c>
      <c r="L1473" t="n">
        <v>1</v>
      </c>
      <c r="M1473" t="n">
        <v>0</v>
      </c>
    </row>
    <row r="1474" spans="1:13">
      <c r="A1474" s="1">
        <f>HYPERLINK("http://www.twitter.com/NathanBLawrence/status/954898356345671680", "954898356345671680")</f>
        <v/>
      </c>
      <c r="B1474" s="2" t="n">
        <v>43121.08892361111</v>
      </c>
      <c r="C1474" t="n">
        <v>0</v>
      </c>
      <c r="D1474" t="n">
        <v>0</v>
      </c>
      <c r="E1474" t="s">
        <v>1485</v>
      </c>
      <c r="F1474" t="s"/>
      <c r="G1474" t="s"/>
      <c r="H1474" t="s"/>
      <c r="I1474" t="s"/>
      <c r="J1474" t="n">
        <v>0.6249</v>
      </c>
      <c r="K1474" t="n">
        <v>0</v>
      </c>
      <c r="L1474" t="n">
        <v>0.796</v>
      </c>
      <c r="M1474" t="n">
        <v>0.204</v>
      </c>
    </row>
    <row r="1475" spans="1:13">
      <c r="A1475" s="1">
        <f>HYPERLINK("http://www.twitter.com/NathanBLawrence/status/954872017702014976", "954872017702014976")</f>
        <v/>
      </c>
      <c r="B1475" s="2" t="n">
        <v>43121.01625</v>
      </c>
      <c r="C1475" t="n">
        <v>0</v>
      </c>
      <c r="D1475" t="n">
        <v>2</v>
      </c>
      <c r="E1475" t="s">
        <v>1486</v>
      </c>
      <c r="F1475">
        <f>HYPERLINK("https://video.twimg.com/ext_tw_video/954772584008245248/pu/vid/720x1280/sJxs3buQ-5v6u1my.mp4", "https://video.twimg.com/ext_tw_video/954772584008245248/pu/vid/720x1280/sJxs3buQ-5v6u1my.mp4")</f>
        <v/>
      </c>
      <c r="G1475" t="s"/>
      <c r="H1475" t="s"/>
      <c r="I1475" t="s"/>
      <c r="J1475" t="n">
        <v>0.4019</v>
      </c>
      <c r="K1475" t="n">
        <v>0</v>
      </c>
      <c r="L1475" t="n">
        <v>0.787</v>
      </c>
      <c r="M1475" t="n">
        <v>0.213</v>
      </c>
    </row>
    <row r="1476" spans="1:13">
      <c r="A1476" s="1">
        <f>HYPERLINK("http://www.twitter.com/NathanBLawrence/status/954865709724655622", "954865709724655622")</f>
        <v/>
      </c>
      <c r="B1476" s="2" t="n">
        <v>43120.99884259259</v>
      </c>
      <c r="C1476" t="n">
        <v>0</v>
      </c>
      <c r="D1476" t="n">
        <v>0</v>
      </c>
      <c r="E1476" t="s">
        <v>1487</v>
      </c>
      <c r="F1476" t="s"/>
      <c r="G1476" t="s"/>
      <c r="H1476" t="s"/>
      <c r="I1476" t="s"/>
      <c r="J1476" t="n">
        <v>0</v>
      </c>
      <c r="K1476" t="n">
        <v>0</v>
      </c>
      <c r="L1476" t="n">
        <v>1</v>
      </c>
      <c r="M1476" t="n">
        <v>0</v>
      </c>
    </row>
    <row r="1477" spans="1:13">
      <c r="A1477" s="1">
        <f>HYPERLINK("http://www.twitter.com/NathanBLawrence/status/954865113831485440", "954865113831485440")</f>
        <v/>
      </c>
      <c r="B1477" s="2" t="n">
        <v>43120.99719907407</v>
      </c>
      <c r="C1477" t="n">
        <v>0</v>
      </c>
      <c r="D1477" t="n">
        <v>2</v>
      </c>
      <c r="E1477" t="s">
        <v>1488</v>
      </c>
      <c r="F1477">
        <f>HYPERLINK("http://pbs.twimg.com/media/DUAPzyuXkAIPh0x.jpg", "http://pbs.twimg.com/media/DUAPzyuXkAIPh0x.jpg")</f>
        <v/>
      </c>
      <c r="G1477" t="s"/>
      <c r="H1477" t="s"/>
      <c r="I1477" t="s"/>
      <c r="J1477" t="n">
        <v>0</v>
      </c>
      <c r="K1477" t="n">
        <v>0</v>
      </c>
      <c r="L1477" t="n">
        <v>1</v>
      </c>
      <c r="M1477" t="n">
        <v>0</v>
      </c>
    </row>
    <row r="1478" spans="1:13">
      <c r="A1478" s="1">
        <f>HYPERLINK("http://www.twitter.com/NathanBLawrence/status/954865073029287936", "954865073029287936")</f>
        <v/>
      </c>
      <c r="B1478" s="2" t="n">
        <v>43120.99708333334</v>
      </c>
      <c r="C1478" t="n">
        <v>0</v>
      </c>
      <c r="D1478" t="n">
        <v>1</v>
      </c>
      <c r="E1478" t="s">
        <v>1489</v>
      </c>
      <c r="F1478">
        <f>HYPERLINK("http://pbs.twimg.com/media/DUAQUZwUMAErKSn.jpg", "http://pbs.twimg.com/media/DUAQUZwUMAErKSn.jpg")</f>
        <v/>
      </c>
      <c r="G1478" t="s"/>
      <c r="H1478" t="s"/>
      <c r="I1478" t="s"/>
      <c r="J1478" t="n">
        <v>0</v>
      </c>
      <c r="K1478" t="n">
        <v>0</v>
      </c>
      <c r="L1478" t="n">
        <v>1</v>
      </c>
      <c r="M1478" t="n">
        <v>0</v>
      </c>
    </row>
    <row r="1479" spans="1:13">
      <c r="A1479" s="1">
        <f>HYPERLINK("http://www.twitter.com/NathanBLawrence/status/954864986635030530", "954864986635030530")</f>
        <v/>
      </c>
      <c r="B1479" s="2" t="n">
        <v>43120.99685185185</v>
      </c>
      <c r="C1479" t="n">
        <v>0</v>
      </c>
      <c r="D1479" t="n">
        <v>1</v>
      </c>
      <c r="E1479" t="s">
        <v>1490</v>
      </c>
      <c r="F1479">
        <f>HYPERLINK("http://pbs.twimg.com/media/DUARt5nX0AERWfY.jpg", "http://pbs.twimg.com/media/DUARt5nX0AERWfY.jpg")</f>
        <v/>
      </c>
      <c r="G1479" t="s"/>
      <c r="H1479" t="s"/>
      <c r="I1479" t="s"/>
      <c r="J1479" t="n">
        <v>0</v>
      </c>
      <c r="K1479" t="n">
        <v>0</v>
      </c>
      <c r="L1479" t="n">
        <v>1</v>
      </c>
      <c r="M1479" t="n">
        <v>0</v>
      </c>
    </row>
    <row r="1480" spans="1:13">
      <c r="A1480" s="1">
        <f>HYPERLINK("http://www.twitter.com/NathanBLawrence/status/954864947867127808", "954864947867127808")</f>
        <v/>
      </c>
      <c r="B1480" s="2" t="n">
        <v>43120.99673611111</v>
      </c>
      <c r="C1480" t="n">
        <v>0</v>
      </c>
      <c r="D1480" t="n">
        <v>2</v>
      </c>
      <c r="E1480" t="s">
        <v>1491</v>
      </c>
      <c r="F1480">
        <f>HYPERLINK("http://pbs.twimg.com/media/DUAckS6XcAEGELW.jpg", "http://pbs.twimg.com/media/DUAckS6XcAEGELW.jpg")</f>
        <v/>
      </c>
      <c r="G1480" t="s"/>
      <c r="H1480" t="s"/>
      <c r="I1480" t="s"/>
      <c r="J1480" t="n">
        <v>0.7073</v>
      </c>
      <c r="K1480" t="n">
        <v>0</v>
      </c>
      <c r="L1480" t="n">
        <v>0.6929999999999999</v>
      </c>
      <c r="M1480" t="n">
        <v>0.307</v>
      </c>
    </row>
    <row r="1481" spans="1:13">
      <c r="A1481" s="1">
        <f>HYPERLINK("http://www.twitter.com/NathanBLawrence/status/954864935644868609", "954864935644868609")</f>
        <v/>
      </c>
      <c r="B1481" s="2" t="n">
        <v>43120.99670138889</v>
      </c>
      <c r="C1481" t="n">
        <v>0</v>
      </c>
      <c r="D1481" t="n">
        <v>2</v>
      </c>
      <c r="E1481" t="s">
        <v>1492</v>
      </c>
      <c r="F1481">
        <f>HYPERLINK("http://pbs.twimg.com/media/DUAdOLcXkAAGmaO.jpg", "http://pbs.twimg.com/media/DUAdOLcXkAAGmaO.jpg")</f>
        <v/>
      </c>
      <c r="G1481" t="s"/>
      <c r="H1481" t="s"/>
      <c r="I1481" t="s"/>
      <c r="J1481" t="n">
        <v>0</v>
      </c>
      <c r="K1481" t="n">
        <v>0</v>
      </c>
      <c r="L1481" t="n">
        <v>1</v>
      </c>
      <c r="M1481" t="n">
        <v>0</v>
      </c>
    </row>
    <row r="1482" spans="1:13">
      <c r="A1482" s="1">
        <f>HYPERLINK("http://www.twitter.com/NathanBLawrence/status/954831791331921920", "954831791331921920")</f>
        <v/>
      </c>
      <c r="B1482" s="2" t="n">
        <v>43120.90524305555</v>
      </c>
      <c r="C1482" t="n">
        <v>3</v>
      </c>
      <c r="D1482" t="n">
        <v>0</v>
      </c>
      <c r="E1482" t="s">
        <v>1493</v>
      </c>
      <c r="F1482" t="s"/>
      <c r="G1482" t="s"/>
      <c r="H1482" t="s"/>
      <c r="I1482" t="s"/>
      <c r="J1482" t="n">
        <v>0.4019</v>
      </c>
      <c r="K1482" t="n">
        <v>0</v>
      </c>
      <c r="L1482" t="n">
        <v>0.838</v>
      </c>
      <c r="M1482" t="n">
        <v>0.162</v>
      </c>
    </row>
    <row r="1483" spans="1:13">
      <c r="A1483" s="1">
        <f>HYPERLINK("http://www.twitter.com/NathanBLawrence/status/954796089990942721", "954796089990942721")</f>
        <v/>
      </c>
      <c r="B1483" s="2" t="n">
        <v>43120.80672453704</v>
      </c>
      <c r="C1483" t="n">
        <v>15</v>
      </c>
      <c r="D1483" t="n">
        <v>3</v>
      </c>
      <c r="E1483" t="s">
        <v>1494</v>
      </c>
      <c r="F1483">
        <f>HYPERLINK("http://pbs.twimg.com/media/DUAd-gDU0AE-2Nn.jpg", "http://pbs.twimg.com/media/DUAd-gDU0AE-2Nn.jpg")</f>
        <v/>
      </c>
      <c r="G1483">
        <f>HYPERLINK("http://pbs.twimg.com/media/DUAd-f9UMAADScs.jpg", "http://pbs.twimg.com/media/DUAd-f9UMAADScs.jpg")</f>
        <v/>
      </c>
      <c r="H1483" t="s"/>
      <c r="I1483" t="s"/>
      <c r="J1483" t="n">
        <v>0.4767</v>
      </c>
      <c r="K1483" t="n">
        <v>0</v>
      </c>
      <c r="L1483" t="n">
        <v>0.795</v>
      </c>
      <c r="M1483" t="n">
        <v>0.205</v>
      </c>
    </row>
    <row r="1484" spans="1:13">
      <c r="A1484" s="1">
        <f>HYPERLINK("http://www.twitter.com/NathanBLawrence/status/954795444487557120", "954795444487557120")</f>
        <v/>
      </c>
      <c r="B1484" s="2" t="n">
        <v>43120.80494212963</v>
      </c>
      <c r="C1484" t="n">
        <v>0</v>
      </c>
      <c r="D1484" t="n">
        <v>3</v>
      </c>
      <c r="E1484" t="s">
        <v>1495</v>
      </c>
      <c r="F1484">
        <f>HYPERLINK("http://pbs.twimg.com/media/DUAdGYGX0AAdzUC.jpg", "http://pbs.twimg.com/media/DUAdGYGX0AAdzUC.jpg")</f>
        <v/>
      </c>
      <c r="G1484" t="s"/>
      <c r="H1484" t="s"/>
      <c r="I1484" t="s"/>
      <c r="J1484" t="n">
        <v>0.4404</v>
      </c>
      <c r="K1484" t="n">
        <v>0</v>
      </c>
      <c r="L1484" t="n">
        <v>0.8179999999999999</v>
      </c>
      <c r="M1484" t="n">
        <v>0.182</v>
      </c>
    </row>
    <row r="1485" spans="1:13">
      <c r="A1485" s="1">
        <f>HYPERLINK("http://www.twitter.com/NathanBLawrence/status/954583214756163585", "954583214756163585")</f>
        <v/>
      </c>
      <c r="B1485" s="2" t="n">
        <v>43120.21930555555</v>
      </c>
      <c r="C1485" t="n">
        <v>0</v>
      </c>
      <c r="D1485" t="n">
        <v>727</v>
      </c>
      <c r="E1485" t="s">
        <v>1496</v>
      </c>
      <c r="F1485" t="s"/>
      <c r="G1485" t="s"/>
      <c r="H1485" t="s"/>
      <c r="I1485" t="s"/>
      <c r="J1485" t="n">
        <v>-0.2732</v>
      </c>
      <c r="K1485" t="n">
        <v>0.1</v>
      </c>
      <c r="L1485" t="n">
        <v>0.9</v>
      </c>
      <c r="M1485" t="n">
        <v>0</v>
      </c>
    </row>
    <row r="1486" spans="1:13">
      <c r="A1486" s="1">
        <f>HYPERLINK("http://www.twitter.com/NathanBLawrence/status/954582663079321600", "954582663079321600")</f>
        <v/>
      </c>
      <c r="B1486" s="2" t="n">
        <v>43120.21777777778</v>
      </c>
      <c r="C1486" t="n">
        <v>0</v>
      </c>
      <c r="D1486" t="n">
        <v>0</v>
      </c>
      <c r="E1486" t="s">
        <v>1497</v>
      </c>
      <c r="F1486" t="s"/>
      <c r="G1486" t="s"/>
      <c r="H1486" t="s"/>
      <c r="I1486" t="s"/>
      <c r="J1486" t="n">
        <v>0</v>
      </c>
      <c r="K1486" t="n">
        <v>0</v>
      </c>
      <c r="L1486" t="n">
        <v>1</v>
      </c>
      <c r="M1486" t="n">
        <v>0</v>
      </c>
    </row>
    <row r="1487" spans="1:13">
      <c r="A1487" s="1">
        <f>HYPERLINK("http://www.twitter.com/NathanBLawrence/status/954581937615724544", "954581937615724544")</f>
        <v/>
      </c>
      <c r="B1487" s="2" t="n">
        <v>43120.21577546297</v>
      </c>
      <c r="C1487" t="n">
        <v>0</v>
      </c>
      <c r="D1487" t="n">
        <v>315</v>
      </c>
      <c r="E1487" t="s">
        <v>1498</v>
      </c>
      <c r="F1487" t="s"/>
      <c r="G1487" t="s"/>
      <c r="H1487" t="s"/>
      <c r="I1487" t="s"/>
      <c r="J1487" t="n">
        <v>-0.6908</v>
      </c>
      <c r="K1487" t="n">
        <v>0.259</v>
      </c>
      <c r="L1487" t="n">
        <v>0.741</v>
      </c>
      <c r="M1487" t="n">
        <v>0</v>
      </c>
    </row>
    <row r="1488" spans="1:13">
      <c r="A1488" s="1">
        <f>HYPERLINK("http://www.twitter.com/NathanBLawrence/status/954581769034092544", "954581769034092544")</f>
        <v/>
      </c>
      <c r="B1488" s="2" t="n">
        <v>43120.2153125</v>
      </c>
      <c r="C1488" t="n">
        <v>0</v>
      </c>
      <c r="D1488" t="n">
        <v>3</v>
      </c>
      <c r="E1488" t="s">
        <v>1499</v>
      </c>
      <c r="F1488" t="s"/>
      <c r="G1488" t="s"/>
      <c r="H1488" t="s"/>
      <c r="I1488" t="s"/>
      <c r="J1488" t="n">
        <v>0.5859</v>
      </c>
      <c r="K1488" t="n">
        <v>0</v>
      </c>
      <c r="L1488" t="n">
        <v>0.826</v>
      </c>
      <c r="M1488" t="n">
        <v>0.174</v>
      </c>
    </row>
    <row r="1489" spans="1:13">
      <c r="A1489" s="1">
        <f>HYPERLINK("http://www.twitter.com/NathanBLawrence/status/954580921457545216", "954580921457545216")</f>
        <v/>
      </c>
      <c r="B1489" s="2" t="n">
        <v>43120.21297453704</v>
      </c>
      <c r="C1489" t="n">
        <v>0</v>
      </c>
      <c r="D1489" t="n">
        <v>21051</v>
      </c>
      <c r="E1489" t="s">
        <v>1500</v>
      </c>
      <c r="F1489">
        <f>HYPERLINK("http://pbs.twimg.com/media/DT9Xqj3XUAA9zBo.jpg", "http://pbs.twimg.com/media/DT9Xqj3XUAA9zBo.jpg")</f>
        <v/>
      </c>
      <c r="G1489" t="s"/>
      <c r="H1489" t="s"/>
      <c r="I1489" t="s"/>
      <c r="J1489" t="n">
        <v>0</v>
      </c>
      <c r="K1489" t="n">
        <v>0</v>
      </c>
      <c r="L1489" t="n">
        <v>1</v>
      </c>
      <c r="M1489" t="n">
        <v>0</v>
      </c>
    </row>
    <row r="1490" spans="1:13">
      <c r="A1490" s="1">
        <f>HYPERLINK("http://www.twitter.com/NathanBLawrence/status/954576288387358721", "954576288387358721")</f>
        <v/>
      </c>
      <c r="B1490" s="2" t="n">
        <v>43120.20018518518</v>
      </c>
      <c r="C1490" t="n">
        <v>0</v>
      </c>
      <c r="D1490" t="n">
        <v>0</v>
      </c>
      <c r="E1490" t="s">
        <v>1501</v>
      </c>
      <c r="F1490" t="s"/>
      <c r="G1490" t="s"/>
      <c r="H1490" t="s"/>
      <c r="I1490" t="s"/>
      <c r="J1490" t="n">
        <v>0</v>
      </c>
      <c r="K1490" t="n">
        <v>0</v>
      </c>
      <c r="L1490" t="n">
        <v>1</v>
      </c>
      <c r="M1490" t="n">
        <v>0</v>
      </c>
    </row>
    <row r="1491" spans="1:13">
      <c r="A1491" s="1">
        <f>HYPERLINK("http://www.twitter.com/NathanBLawrence/status/954576135299485698", "954576135299485698")</f>
        <v/>
      </c>
      <c r="B1491" s="2" t="n">
        <v>43120.19976851852</v>
      </c>
      <c r="C1491" t="n">
        <v>0</v>
      </c>
      <c r="D1491" t="n">
        <v>0</v>
      </c>
      <c r="E1491" t="s">
        <v>1502</v>
      </c>
      <c r="F1491" t="s"/>
      <c r="G1491" t="s"/>
      <c r="H1491" t="s"/>
      <c r="I1491" t="s"/>
      <c r="J1491" t="n">
        <v>0</v>
      </c>
      <c r="K1491" t="n">
        <v>0</v>
      </c>
      <c r="L1491" t="n">
        <v>1</v>
      </c>
      <c r="M1491" t="n">
        <v>0</v>
      </c>
    </row>
    <row r="1492" spans="1:13">
      <c r="A1492" s="1">
        <f>HYPERLINK("http://www.twitter.com/NathanBLawrence/status/954575074178293760", "954575074178293760")</f>
        <v/>
      </c>
      <c r="B1492" s="2" t="n">
        <v>43120.19684027778</v>
      </c>
      <c r="C1492" t="n">
        <v>0</v>
      </c>
      <c r="D1492" t="n">
        <v>0</v>
      </c>
      <c r="E1492" t="s">
        <v>1503</v>
      </c>
      <c r="F1492" t="s"/>
      <c r="G1492" t="s"/>
      <c r="H1492" t="s"/>
      <c r="I1492" t="s"/>
      <c r="J1492" t="n">
        <v>0</v>
      </c>
      <c r="K1492" t="n">
        <v>0</v>
      </c>
      <c r="L1492" t="n">
        <v>1</v>
      </c>
      <c r="M1492" t="n">
        <v>0</v>
      </c>
    </row>
    <row r="1493" spans="1:13">
      <c r="A1493" s="1">
        <f>HYPERLINK("http://www.twitter.com/NathanBLawrence/status/954569900927913984", "954569900927913984")</f>
        <v/>
      </c>
      <c r="B1493" s="2" t="n">
        <v>43120.18256944444</v>
      </c>
      <c r="C1493" t="n">
        <v>0</v>
      </c>
      <c r="D1493" t="n">
        <v>3</v>
      </c>
      <c r="E1493" t="s">
        <v>1504</v>
      </c>
      <c r="F1493" t="s"/>
      <c r="G1493" t="s"/>
      <c r="H1493" t="s"/>
      <c r="I1493" t="s"/>
      <c r="J1493" t="n">
        <v>-0.1027</v>
      </c>
      <c r="K1493" t="n">
        <v>0.097</v>
      </c>
      <c r="L1493" t="n">
        <v>0.903</v>
      </c>
      <c r="M1493" t="n">
        <v>0</v>
      </c>
    </row>
    <row r="1494" spans="1:13">
      <c r="A1494" s="1">
        <f>HYPERLINK("http://www.twitter.com/NathanBLawrence/status/954569206296645633", "954569206296645633")</f>
        <v/>
      </c>
      <c r="B1494" s="2" t="n">
        <v>43120.18064814815</v>
      </c>
      <c r="C1494" t="n">
        <v>0</v>
      </c>
      <c r="D1494" t="n">
        <v>0</v>
      </c>
      <c r="E1494" t="s">
        <v>1505</v>
      </c>
      <c r="F1494" t="s"/>
      <c r="G1494" t="s"/>
      <c r="H1494" t="s"/>
      <c r="I1494" t="s"/>
      <c r="J1494" t="n">
        <v>0</v>
      </c>
      <c r="K1494" t="n">
        <v>0</v>
      </c>
      <c r="L1494" t="n">
        <v>1</v>
      </c>
      <c r="M1494" t="n">
        <v>0</v>
      </c>
    </row>
    <row r="1495" spans="1:13">
      <c r="A1495" s="1">
        <f>HYPERLINK("http://www.twitter.com/NathanBLawrence/status/954568689885511680", "954568689885511680")</f>
        <v/>
      </c>
      <c r="B1495" s="2" t="n">
        <v>43120.17922453704</v>
      </c>
      <c r="C1495" t="n">
        <v>0</v>
      </c>
      <c r="D1495" t="n">
        <v>0</v>
      </c>
      <c r="E1495" t="s">
        <v>1506</v>
      </c>
      <c r="F1495" t="s"/>
      <c r="G1495" t="s"/>
      <c r="H1495" t="s"/>
      <c r="I1495" t="s"/>
      <c r="J1495" t="n">
        <v>0.4767</v>
      </c>
      <c r="K1495" t="n">
        <v>0</v>
      </c>
      <c r="L1495" t="n">
        <v>0.661</v>
      </c>
      <c r="M1495" t="n">
        <v>0.339</v>
      </c>
    </row>
    <row r="1496" spans="1:13">
      <c r="A1496" s="1">
        <f>HYPERLINK("http://www.twitter.com/NathanBLawrence/status/954567623450202113", "954567623450202113")</f>
        <v/>
      </c>
      <c r="B1496" s="2" t="n">
        <v>43120.17628472222</v>
      </c>
      <c r="C1496" t="n">
        <v>1</v>
      </c>
      <c r="D1496" t="n">
        <v>0</v>
      </c>
      <c r="E1496" t="s">
        <v>1507</v>
      </c>
      <c r="F1496" t="s"/>
      <c r="G1496" t="s"/>
      <c r="H1496" t="s"/>
      <c r="I1496" t="s"/>
      <c r="J1496" t="n">
        <v>0.0772</v>
      </c>
      <c r="K1496" t="n">
        <v>0</v>
      </c>
      <c r="L1496" t="n">
        <v>0.9330000000000001</v>
      </c>
      <c r="M1496" t="n">
        <v>0.067</v>
      </c>
    </row>
    <row r="1497" spans="1:13">
      <c r="A1497" s="1">
        <f>HYPERLINK("http://www.twitter.com/NathanBLawrence/status/954552059394707456", "954552059394707456")</f>
        <v/>
      </c>
      <c r="B1497" s="2" t="n">
        <v>43120.13333333333</v>
      </c>
      <c r="C1497" t="n">
        <v>1</v>
      </c>
      <c r="D1497" t="n">
        <v>0</v>
      </c>
      <c r="E1497" t="s">
        <v>1508</v>
      </c>
      <c r="F1497" t="s"/>
      <c r="G1497" t="s"/>
      <c r="H1497" t="s"/>
      <c r="I1497" t="s"/>
      <c r="J1497" t="n">
        <v>0.765</v>
      </c>
      <c r="K1497" t="n">
        <v>0</v>
      </c>
      <c r="L1497" t="n">
        <v>0.515</v>
      </c>
      <c r="M1497" t="n">
        <v>0.485</v>
      </c>
    </row>
    <row r="1498" spans="1:13">
      <c r="A1498" s="1">
        <f>HYPERLINK("http://www.twitter.com/NathanBLawrence/status/954541682443411456", "954541682443411456")</f>
        <v/>
      </c>
      <c r="B1498" s="2" t="n">
        <v>43120.10469907407</v>
      </c>
      <c r="C1498" t="n">
        <v>0</v>
      </c>
      <c r="D1498" t="n">
        <v>0</v>
      </c>
      <c r="E1498" t="s">
        <v>1509</v>
      </c>
      <c r="F1498" t="s"/>
      <c r="G1498" t="s"/>
      <c r="H1498" t="s"/>
      <c r="I1498" t="s"/>
      <c r="J1498" t="n">
        <v>-0.2732</v>
      </c>
      <c r="K1498" t="n">
        <v>0.301</v>
      </c>
      <c r="L1498" t="n">
        <v>0.548</v>
      </c>
      <c r="M1498" t="n">
        <v>0.151</v>
      </c>
    </row>
    <row r="1499" spans="1:13">
      <c r="A1499" s="1">
        <f>HYPERLINK("http://www.twitter.com/NathanBLawrence/status/954534136877903872", "954534136877903872")</f>
        <v/>
      </c>
      <c r="B1499" s="2" t="n">
        <v>43120.08387731481</v>
      </c>
      <c r="C1499" t="n">
        <v>0</v>
      </c>
      <c r="D1499" t="n">
        <v>0</v>
      </c>
      <c r="E1499" t="s">
        <v>1510</v>
      </c>
      <c r="F1499" t="s"/>
      <c r="G1499" t="s"/>
      <c r="H1499" t="s"/>
      <c r="I1499" t="s"/>
      <c r="J1499" t="n">
        <v>0</v>
      </c>
      <c r="K1499" t="n">
        <v>0</v>
      </c>
      <c r="L1499" t="n">
        <v>1</v>
      </c>
      <c r="M1499" t="n">
        <v>0</v>
      </c>
    </row>
    <row r="1500" spans="1:13">
      <c r="A1500" s="1">
        <f>HYPERLINK("http://www.twitter.com/NathanBLawrence/status/954513140305285120", "954513140305285120")</f>
        <v/>
      </c>
      <c r="B1500" s="2" t="n">
        <v>43120.0259375</v>
      </c>
      <c r="C1500" t="n">
        <v>0</v>
      </c>
      <c r="D1500" t="n">
        <v>0</v>
      </c>
      <c r="E1500" t="s">
        <v>1511</v>
      </c>
      <c r="F1500" t="s"/>
      <c r="G1500" t="s"/>
      <c r="H1500" t="s"/>
      <c r="I1500" t="s"/>
      <c r="J1500" t="n">
        <v>-0.3476</v>
      </c>
      <c r="K1500" t="n">
        <v>0.168</v>
      </c>
      <c r="L1500" t="n">
        <v>0.832</v>
      </c>
      <c r="M1500" t="n">
        <v>0</v>
      </c>
    </row>
    <row r="1501" spans="1:13">
      <c r="A1501" s="1">
        <f>HYPERLINK("http://www.twitter.com/NathanBLawrence/status/954512001451155456", "954512001451155456")</f>
        <v/>
      </c>
      <c r="B1501" s="2" t="n">
        <v>43120.02278935185</v>
      </c>
      <c r="C1501" t="n">
        <v>0</v>
      </c>
      <c r="D1501" t="n">
        <v>11996</v>
      </c>
      <c r="E1501" t="s">
        <v>1512</v>
      </c>
      <c r="F1501" t="s"/>
      <c r="G1501" t="s"/>
      <c r="H1501" t="s"/>
      <c r="I1501" t="s"/>
      <c r="J1501" t="n">
        <v>0.5266999999999999</v>
      </c>
      <c r="K1501" t="n">
        <v>0</v>
      </c>
      <c r="L1501" t="n">
        <v>0.82</v>
      </c>
      <c r="M1501" t="n">
        <v>0.18</v>
      </c>
    </row>
    <row r="1502" spans="1:13">
      <c r="A1502" s="1">
        <f>HYPERLINK("http://www.twitter.com/NathanBLawrence/status/954511755971096577", "954511755971096577")</f>
        <v/>
      </c>
      <c r="B1502" s="2" t="n">
        <v>43120.02211805555</v>
      </c>
      <c r="C1502" t="n">
        <v>0</v>
      </c>
      <c r="D1502" t="n">
        <v>0</v>
      </c>
      <c r="E1502" t="s">
        <v>1513</v>
      </c>
      <c r="F1502" t="s"/>
      <c r="G1502" t="s"/>
      <c r="H1502" t="s"/>
      <c r="I1502" t="s"/>
      <c r="J1502" t="n">
        <v>-0.6249</v>
      </c>
      <c r="K1502" t="n">
        <v>0.718</v>
      </c>
      <c r="L1502" t="n">
        <v>0.282</v>
      </c>
      <c r="M1502" t="n">
        <v>0</v>
      </c>
    </row>
    <row r="1503" spans="1:13">
      <c r="A1503" s="1">
        <f>HYPERLINK("http://www.twitter.com/NathanBLawrence/status/954464751052042240", "954464751052042240")</f>
        <v/>
      </c>
      <c r="B1503" s="2" t="n">
        <v>43119.89240740741</v>
      </c>
      <c r="C1503" t="n">
        <v>0</v>
      </c>
      <c r="D1503" t="n">
        <v>6</v>
      </c>
      <c r="E1503" t="s">
        <v>1514</v>
      </c>
      <c r="F1503" t="s"/>
      <c r="G1503" t="s"/>
      <c r="H1503" t="s"/>
      <c r="I1503" t="s"/>
      <c r="J1503" t="n">
        <v>0</v>
      </c>
      <c r="K1503" t="n">
        <v>0</v>
      </c>
      <c r="L1503" t="n">
        <v>1</v>
      </c>
      <c r="M1503" t="n">
        <v>0</v>
      </c>
    </row>
    <row r="1504" spans="1:13">
      <c r="A1504" s="1">
        <f>HYPERLINK("http://www.twitter.com/NathanBLawrence/status/954464663139442696", "954464663139442696")</f>
        <v/>
      </c>
      <c r="B1504" s="2" t="n">
        <v>43119.89216435186</v>
      </c>
      <c r="C1504" t="n">
        <v>0</v>
      </c>
      <c r="D1504" t="n">
        <v>25665</v>
      </c>
      <c r="E1504" t="s">
        <v>1515</v>
      </c>
      <c r="F1504" t="s"/>
      <c r="G1504" t="s"/>
      <c r="H1504" t="s"/>
      <c r="I1504" t="s"/>
      <c r="J1504" t="n">
        <v>0.022</v>
      </c>
      <c r="K1504" t="n">
        <v>0.08699999999999999</v>
      </c>
      <c r="L1504" t="n">
        <v>0.821</v>
      </c>
      <c r="M1504" t="n">
        <v>0.091</v>
      </c>
    </row>
    <row r="1505" spans="1:13">
      <c r="A1505" s="1">
        <f>HYPERLINK("http://www.twitter.com/NathanBLawrence/status/954459842428723200", "954459842428723200")</f>
        <v/>
      </c>
      <c r="B1505" s="2" t="n">
        <v>43119.87886574074</v>
      </c>
      <c r="C1505" t="n">
        <v>0</v>
      </c>
      <c r="D1505" t="n">
        <v>394</v>
      </c>
      <c r="E1505" t="s">
        <v>1516</v>
      </c>
      <c r="F1505" t="s"/>
      <c r="G1505" t="s"/>
      <c r="H1505" t="s"/>
      <c r="I1505" t="s"/>
      <c r="J1505" t="n">
        <v>-0.5849</v>
      </c>
      <c r="K1505" t="n">
        <v>0.147</v>
      </c>
      <c r="L1505" t="n">
        <v>0.853</v>
      </c>
      <c r="M1505" t="n">
        <v>0</v>
      </c>
    </row>
    <row r="1506" spans="1:13">
      <c r="A1506" s="1">
        <f>HYPERLINK("http://www.twitter.com/NathanBLawrence/status/954458249260126209", "954458249260126209")</f>
        <v/>
      </c>
      <c r="B1506" s="2" t="n">
        <v>43119.87446759259</v>
      </c>
      <c r="C1506" t="n">
        <v>0</v>
      </c>
      <c r="D1506" t="n">
        <v>0</v>
      </c>
      <c r="E1506" t="s">
        <v>1517</v>
      </c>
      <c r="F1506" t="s"/>
      <c r="G1506" t="s"/>
      <c r="H1506" t="s"/>
      <c r="I1506" t="s"/>
      <c r="J1506" t="n">
        <v>0</v>
      </c>
      <c r="K1506" t="n">
        <v>0</v>
      </c>
      <c r="L1506" t="n">
        <v>1</v>
      </c>
      <c r="M1506" t="n">
        <v>0</v>
      </c>
    </row>
    <row r="1507" spans="1:13">
      <c r="A1507" s="1">
        <f>HYPERLINK("http://www.twitter.com/NathanBLawrence/status/954457029137063937", "954457029137063937")</f>
        <v/>
      </c>
      <c r="B1507" s="2" t="n">
        <v>43119.87109953703</v>
      </c>
      <c r="C1507" t="n">
        <v>0</v>
      </c>
      <c r="D1507" t="n">
        <v>1</v>
      </c>
      <c r="E1507" t="s">
        <v>1518</v>
      </c>
      <c r="F1507" t="s"/>
      <c r="G1507" t="s"/>
      <c r="H1507" t="s"/>
      <c r="I1507" t="s"/>
      <c r="J1507" t="n">
        <v>0</v>
      </c>
      <c r="K1507" t="n">
        <v>0</v>
      </c>
      <c r="L1507" t="n">
        <v>1</v>
      </c>
      <c r="M1507" t="n">
        <v>0</v>
      </c>
    </row>
    <row r="1508" spans="1:13">
      <c r="A1508" s="1">
        <f>HYPERLINK("http://www.twitter.com/NathanBLawrence/status/954456532783157248", "954456532783157248")</f>
        <v/>
      </c>
      <c r="B1508" s="2" t="n">
        <v>43119.86973379629</v>
      </c>
      <c r="C1508" t="n">
        <v>2</v>
      </c>
      <c r="D1508" t="n">
        <v>0</v>
      </c>
      <c r="E1508" t="s">
        <v>1519</v>
      </c>
      <c r="F1508" t="s"/>
      <c r="G1508" t="s"/>
      <c r="H1508" t="s"/>
      <c r="I1508" t="s"/>
      <c r="J1508" t="n">
        <v>-0.2484</v>
      </c>
      <c r="K1508" t="n">
        <v>0.307</v>
      </c>
      <c r="L1508" t="n">
        <v>0.481</v>
      </c>
      <c r="M1508" t="n">
        <v>0.212</v>
      </c>
    </row>
    <row r="1509" spans="1:13">
      <c r="A1509" s="1">
        <f>HYPERLINK("http://www.twitter.com/NathanBLawrence/status/954455573713604608", "954455573713604608")</f>
        <v/>
      </c>
      <c r="B1509" s="2" t="n">
        <v>43119.86708333333</v>
      </c>
      <c r="C1509" t="n">
        <v>0</v>
      </c>
      <c r="D1509" t="n">
        <v>0</v>
      </c>
      <c r="E1509" t="s">
        <v>1520</v>
      </c>
      <c r="F1509" t="s"/>
      <c r="G1509" t="s"/>
      <c r="H1509" t="s"/>
      <c r="I1509" t="s"/>
      <c r="J1509" t="n">
        <v>0.128</v>
      </c>
      <c r="K1509" t="n">
        <v>0.222</v>
      </c>
      <c r="L1509" t="n">
        <v>0.505</v>
      </c>
      <c r="M1509" t="n">
        <v>0.273</v>
      </c>
    </row>
    <row r="1510" spans="1:13">
      <c r="A1510" s="1">
        <f>HYPERLINK("http://www.twitter.com/NathanBLawrence/status/954450084183314433", "954450084183314433")</f>
        <v/>
      </c>
      <c r="B1510" s="2" t="n">
        <v>43119.85193287037</v>
      </c>
      <c r="C1510" t="n">
        <v>0</v>
      </c>
      <c r="D1510" t="n">
        <v>0</v>
      </c>
      <c r="E1510" t="s">
        <v>1521</v>
      </c>
      <c r="F1510" t="s"/>
      <c r="G1510" t="s"/>
      <c r="H1510" t="s"/>
      <c r="I1510" t="s"/>
      <c r="J1510" t="n">
        <v>0</v>
      </c>
      <c r="K1510" t="n">
        <v>0</v>
      </c>
      <c r="L1510" t="n">
        <v>1</v>
      </c>
      <c r="M1510" t="n">
        <v>0</v>
      </c>
    </row>
    <row r="1511" spans="1:13">
      <c r="A1511" s="1">
        <f>HYPERLINK("http://www.twitter.com/NathanBLawrence/status/954449763323318274", "954449763323318274")</f>
        <v/>
      </c>
      <c r="B1511" s="2" t="n">
        <v>43119.85105324074</v>
      </c>
      <c r="C1511" t="n">
        <v>0</v>
      </c>
      <c r="D1511" t="n">
        <v>12</v>
      </c>
      <c r="E1511" t="s">
        <v>1522</v>
      </c>
      <c r="F1511" t="s"/>
      <c r="G1511" t="s"/>
      <c r="H1511" t="s"/>
      <c r="I1511" t="s"/>
      <c r="J1511" t="n">
        <v>0</v>
      </c>
      <c r="K1511" t="n">
        <v>0</v>
      </c>
      <c r="L1511" t="n">
        <v>1</v>
      </c>
      <c r="M1511" t="n">
        <v>0</v>
      </c>
    </row>
    <row r="1512" spans="1:13">
      <c r="A1512" s="1">
        <f>HYPERLINK("http://www.twitter.com/NathanBLawrence/status/954449727516545027", "954449727516545027")</f>
        <v/>
      </c>
      <c r="B1512" s="2" t="n">
        <v>43119.85094907408</v>
      </c>
      <c r="C1512" t="n">
        <v>0</v>
      </c>
      <c r="D1512" t="n">
        <v>17</v>
      </c>
      <c r="E1512" t="s">
        <v>1523</v>
      </c>
      <c r="F1512" t="s"/>
      <c r="G1512" t="s"/>
      <c r="H1512" t="s"/>
      <c r="I1512" t="s"/>
      <c r="J1512" t="n">
        <v>0</v>
      </c>
      <c r="K1512" t="n">
        <v>0</v>
      </c>
      <c r="L1512" t="n">
        <v>1</v>
      </c>
      <c r="M1512" t="n">
        <v>0</v>
      </c>
    </row>
    <row r="1513" spans="1:13">
      <c r="A1513" s="1">
        <f>HYPERLINK("http://www.twitter.com/NathanBLawrence/status/954449718905630720", "954449718905630720")</f>
        <v/>
      </c>
      <c r="B1513" s="2" t="n">
        <v>43119.85092592592</v>
      </c>
      <c r="C1513" t="n">
        <v>0</v>
      </c>
      <c r="D1513" t="n">
        <v>8</v>
      </c>
      <c r="E1513" t="s">
        <v>1524</v>
      </c>
      <c r="F1513" t="s"/>
      <c r="G1513" t="s"/>
      <c r="H1513" t="s"/>
      <c r="I1513" t="s"/>
      <c r="J1513" t="n">
        <v>0</v>
      </c>
      <c r="K1513" t="n">
        <v>0</v>
      </c>
      <c r="L1513" t="n">
        <v>1</v>
      </c>
      <c r="M1513" t="n">
        <v>0</v>
      </c>
    </row>
    <row r="1514" spans="1:13">
      <c r="A1514" s="1">
        <f>HYPERLINK("http://www.twitter.com/NathanBLawrence/status/954442954327953409", "954442954327953409")</f>
        <v/>
      </c>
      <c r="B1514" s="2" t="n">
        <v>43119.83225694444</v>
      </c>
      <c r="C1514" t="n">
        <v>0</v>
      </c>
      <c r="D1514" t="n">
        <v>0</v>
      </c>
      <c r="E1514" t="s">
        <v>1525</v>
      </c>
      <c r="F1514" t="s"/>
      <c r="G1514" t="s"/>
      <c r="H1514" t="s"/>
      <c r="I1514" t="s"/>
      <c r="J1514" t="n">
        <v>0.3724</v>
      </c>
      <c r="K1514" t="n">
        <v>0</v>
      </c>
      <c r="L1514" t="n">
        <v>0.928</v>
      </c>
      <c r="M1514" t="n">
        <v>0.07199999999999999</v>
      </c>
    </row>
    <row r="1515" spans="1:13">
      <c r="A1515" s="1">
        <f>HYPERLINK("http://www.twitter.com/NathanBLawrence/status/954441907614244865", "954441907614244865")</f>
        <v/>
      </c>
      <c r="B1515" s="2" t="n">
        <v>43119.829375</v>
      </c>
      <c r="C1515" t="n">
        <v>0</v>
      </c>
      <c r="D1515" t="n">
        <v>1</v>
      </c>
      <c r="E1515" t="s">
        <v>1526</v>
      </c>
      <c r="F1515" t="s"/>
      <c r="G1515" t="s"/>
      <c r="H1515" t="s"/>
      <c r="I1515" t="s"/>
      <c r="J1515" t="n">
        <v>0.5719</v>
      </c>
      <c r="K1515" t="n">
        <v>0</v>
      </c>
      <c r="L1515" t="n">
        <v>0.748</v>
      </c>
      <c r="M1515" t="n">
        <v>0.252</v>
      </c>
    </row>
    <row r="1516" spans="1:13">
      <c r="A1516" s="1">
        <f>HYPERLINK("http://www.twitter.com/NathanBLawrence/status/954440330824253440", "954440330824253440")</f>
        <v/>
      </c>
      <c r="B1516" s="2" t="n">
        <v>43119.82502314815</v>
      </c>
      <c r="C1516" t="n">
        <v>0</v>
      </c>
      <c r="D1516" t="n">
        <v>16189</v>
      </c>
      <c r="E1516" t="s">
        <v>1527</v>
      </c>
      <c r="F1516" t="s"/>
      <c r="G1516" t="s"/>
      <c r="H1516" t="s"/>
      <c r="I1516" t="s"/>
      <c r="J1516" t="n">
        <v>0</v>
      </c>
      <c r="K1516" t="n">
        <v>0</v>
      </c>
      <c r="L1516" t="n">
        <v>1</v>
      </c>
      <c r="M1516" t="n">
        <v>0</v>
      </c>
    </row>
    <row r="1517" spans="1:13">
      <c r="A1517" s="1">
        <f>HYPERLINK("http://www.twitter.com/NathanBLawrence/status/954426157927190529", "954426157927190529")</f>
        <v/>
      </c>
      <c r="B1517" s="2" t="n">
        <v>43119.78591435185</v>
      </c>
      <c r="C1517" t="n">
        <v>0</v>
      </c>
      <c r="D1517" t="n">
        <v>847</v>
      </c>
      <c r="E1517" t="s">
        <v>1528</v>
      </c>
      <c r="F1517" t="s"/>
      <c r="G1517" t="s"/>
      <c r="H1517" t="s"/>
      <c r="I1517" t="s"/>
      <c r="J1517" t="n">
        <v>0</v>
      </c>
      <c r="K1517" t="n">
        <v>0</v>
      </c>
      <c r="L1517" t="n">
        <v>1</v>
      </c>
      <c r="M1517" t="n">
        <v>0</v>
      </c>
    </row>
    <row r="1518" spans="1:13">
      <c r="A1518" s="1">
        <f>HYPERLINK("http://www.twitter.com/NathanBLawrence/status/954425306542206977", "954425306542206977")</f>
        <v/>
      </c>
      <c r="B1518" s="2" t="n">
        <v>43119.78356481482</v>
      </c>
      <c r="C1518" t="n">
        <v>0</v>
      </c>
      <c r="D1518" t="n">
        <v>24231</v>
      </c>
      <c r="E1518" t="s">
        <v>1529</v>
      </c>
      <c r="F1518">
        <f>HYPERLINK("https://video.twimg.com/ext_tw_video/954422646132887552/pu/vid/1280x720/ALm1TLiPrz77ENB7.mp4", "https://video.twimg.com/ext_tw_video/954422646132887552/pu/vid/1280x720/ALm1TLiPrz77ENB7.mp4")</f>
        <v/>
      </c>
      <c r="G1518" t="s"/>
      <c r="H1518" t="s"/>
      <c r="I1518" t="s"/>
      <c r="J1518" t="n">
        <v>0.8016</v>
      </c>
      <c r="K1518" t="n">
        <v>0</v>
      </c>
      <c r="L1518" t="n">
        <v>0.725</v>
      </c>
      <c r="M1518" t="n">
        <v>0.275</v>
      </c>
    </row>
    <row r="1519" spans="1:13">
      <c r="A1519" s="1">
        <f>HYPERLINK("http://www.twitter.com/NathanBLawrence/status/954417210725978117", "954417210725978117")</f>
        <v/>
      </c>
      <c r="B1519" s="2" t="n">
        <v>43119.76121527778</v>
      </c>
      <c r="C1519" t="n">
        <v>0</v>
      </c>
      <c r="D1519" t="n">
        <v>4807</v>
      </c>
      <c r="E1519" t="s">
        <v>1530</v>
      </c>
      <c r="F1519">
        <f>HYPERLINK("http://pbs.twimg.com/media/DT6zvtEXUAAWReE.png", "http://pbs.twimg.com/media/DT6zvtEXUAAWReE.png")</f>
        <v/>
      </c>
      <c r="G1519" t="s"/>
      <c r="H1519" t="s"/>
      <c r="I1519" t="s"/>
      <c r="J1519" t="n">
        <v>0</v>
      </c>
      <c r="K1519" t="n">
        <v>0</v>
      </c>
      <c r="L1519" t="n">
        <v>1</v>
      </c>
      <c r="M1519" t="n">
        <v>0</v>
      </c>
    </row>
    <row r="1520" spans="1:13">
      <c r="A1520" s="1">
        <f>HYPERLINK("http://www.twitter.com/NathanBLawrence/status/954416367263940608", "954416367263940608")</f>
        <v/>
      </c>
      <c r="B1520" s="2" t="n">
        <v>43119.75888888889</v>
      </c>
      <c r="C1520" t="n">
        <v>0</v>
      </c>
      <c r="D1520" t="n">
        <v>0</v>
      </c>
      <c r="E1520" t="s">
        <v>1531</v>
      </c>
      <c r="F1520" t="s"/>
      <c r="G1520" t="s"/>
      <c r="H1520" t="s"/>
      <c r="I1520" t="s"/>
      <c r="J1520" t="n">
        <v>0</v>
      </c>
      <c r="K1520" t="n">
        <v>0</v>
      </c>
      <c r="L1520" t="n">
        <v>1</v>
      </c>
      <c r="M1520" t="n">
        <v>0</v>
      </c>
    </row>
    <row r="1521" spans="1:13">
      <c r="A1521" s="1">
        <f>HYPERLINK("http://www.twitter.com/NathanBLawrence/status/954405524094750722", "954405524094750722")</f>
        <v/>
      </c>
      <c r="B1521" s="2" t="n">
        <v>43119.72896990741</v>
      </c>
      <c r="C1521" t="n">
        <v>0</v>
      </c>
      <c r="D1521" t="n">
        <v>124</v>
      </c>
      <c r="E1521" t="s">
        <v>1532</v>
      </c>
      <c r="F1521" t="s"/>
      <c r="G1521" t="s"/>
      <c r="H1521" t="s"/>
      <c r="I1521" t="s"/>
      <c r="J1521" t="n">
        <v>0</v>
      </c>
      <c r="K1521" t="n">
        <v>0</v>
      </c>
      <c r="L1521" t="n">
        <v>1</v>
      </c>
      <c r="M1521" t="n">
        <v>0</v>
      </c>
    </row>
    <row r="1522" spans="1:13">
      <c r="A1522" s="1">
        <f>HYPERLINK("http://www.twitter.com/NathanBLawrence/status/954397922728300544", "954397922728300544")</f>
        <v/>
      </c>
      <c r="B1522" s="2" t="n">
        <v>43119.70799768518</v>
      </c>
      <c r="C1522" t="n">
        <v>1</v>
      </c>
      <c r="D1522" t="n">
        <v>0</v>
      </c>
      <c r="E1522" t="s">
        <v>1533</v>
      </c>
      <c r="F1522" t="s"/>
      <c r="G1522" t="s"/>
      <c r="H1522" t="s"/>
      <c r="I1522" t="s"/>
      <c r="J1522" t="n">
        <v>0.4404</v>
      </c>
      <c r="K1522" t="n">
        <v>0</v>
      </c>
      <c r="L1522" t="n">
        <v>0.734</v>
      </c>
      <c r="M1522" t="n">
        <v>0.266</v>
      </c>
    </row>
    <row r="1523" spans="1:13">
      <c r="A1523" s="1">
        <f>HYPERLINK("http://www.twitter.com/NathanBLawrence/status/954397843338547205", "954397843338547205")</f>
        <v/>
      </c>
      <c r="B1523" s="2" t="n">
        <v>43119.70777777778</v>
      </c>
      <c r="C1523" t="n">
        <v>0</v>
      </c>
      <c r="D1523" t="n">
        <v>148</v>
      </c>
      <c r="E1523" t="s">
        <v>1534</v>
      </c>
      <c r="F1523">
        <f>HYPERLINK("http://pbs.twimg.com/media/DT6yxJ6VwAIG86z.jpg", "http://pbs.twimg.com/media/DT6yxJ6VwAIG86z.jpg")</f>
        <v/>
      </c>
      <c r="G1523" t="s"/>
      <c r="H1523" t="s"/>
      <c r="I1523" t="s"/>
      <c r="J1523" t="n">
        <v>0</v>
      </c>
      <c r="K1523" t="n">
        <v>0</v>
      </c>
      <c r="L1523" t="n">
        <v>1</v>
      </c>
      <c r="M1523" t="n">
        <v>0</v>
      </c>
    </row>
    <row r="1524" spans="1:13">
      <c r="A1524" s="1">
        <f>HYPERLINK("http://www.twitter.com/NathanBLawrence/status/954396068409696256", "954396068409696256")</f>
        <v/>
      </c>
      <c r="B1524" s="2" t="n">
        <v>43119.70288194445</v>
      </c>
      <c r="C1524" t="n">
        <v>1</v>
      </c>
      <c r="D1524" t="n">
        <v>2</v>
      </c>
      <c r="E1524" t="s">
        <v>1535</v>
      </c>
      <c r="F1524" t="s"/>
      <c r="G1524" t="s"/>
      <c r="H1524" t="s"/>
      <c r="I1524" t="s"/>
      <c r="J1524" t="n">
        <v>0.5673</v>
      </c>
      <c r="K1524" t="n">
        <v>0</v>
      </c>
      <c r="L1524" t="n">
        <v>0.621</v>
      </c>
      <c r="M1524" t="n">
        <v>0.379</v>
      </c>
    </row>
    <row r="1525" spans="1:13">
      <c r="A1525" s="1">
        <f>HYPERLINK("http://www.twitter.com/NathanBLawrence/status/954395716574765057", "954395716574765057")</f>
        <v/>
      </c>
      <c r="B1525" s="2" t="n">
        <v>43119.70190972222</v>
      </c>
      <c r="C1525" t="n">
        <v>0</v>
      </c>
      <c r="D1525" t="n">
        <v>0</v>
      </c>
      <c r="E1525" t="s">
        <v>1536</v>
      </c>
      <c r="F1525" t="s"/>
      <c r="G1525" t="s"/>
      <c r="H1525" t="s"/>
      <c r="I1525" t="s"/>
      <c r="J1525" t="n">
        <v>0</v>
      </c>
      <c r="K1525" t="n">
        <v>0</v>
      </c>
      <c r="L1525" t="n">
        <v>1</v>
      </c>
      <c r="M1525" t="n">
        <v>0</v>
      </c>
    </row>
    <row r="1526" spans="1:13">
      <c r="A1526" s="1">
        <f>HYPERLINK("http://www.twitter.com/NathanBLawrence/status/954395530855174145", "954395530855174145")</f>
        <v/>
      </c>
      <c r="B1526" s="2" t="n">
        <v>43119.70140046296</v>
      </c>
      <c r="C1526" t="n">
        <v>0</v>
      </c>
      <c r="D1526" t="n">
        <v>0</v>
      </c>
      <c r="E1526" t="s">
        <v>1537</v>
      </c>
      <c r="F1526" t="s"/>
      <c r="G1526" t="s"/>
      <c r="H1526" t="s"/>
      <c r="I1526" t="s"/>
      <c r="J1526" t="n">
        <v>0</v>
      </c>
      <c r="K1526" t="n">
        <v>0</v>
      </c>
      <c r="L1526" t="n">
        <v>1</v>
      </c>
      <c r="M1526" t="n">
        <v>0</v>
      </c>
    </row>
    <row r="1527" spans="1:13">
      <c r="A1527" s="1">
        <f>HYPERLINK("http://www.twitter.com/NathanBLawrence/status/954395284120928256", "954395284120928256")</f>
        <v/>
      </c>
      <c r="B1527" s="2" t="n">
        <v>43119.70071759259</v>
      </c>
      <c r="C1527" t="n">
        <v>0</v>
      </c>
      <c r="D1527" t="n">
        <v>0</v>
      </c>
      <c r="E1527" t="s">
        <v>1538</v>
      </c>
      <c r="F1527" t="s"/>
      <c r="G1527" t="s"/>
      <c r="H1527" t="s"/>
      <c r="I1527" t="s"/>
      <c r="J1527" t="n">
        <v>0</v>
      </c>
      <c r="K1527" t="n">
        <v>0</v>
      </c>
      <c r="L1527" t="n">
        <v>1</v>
      </c>
      <c r="M1527" t="n">
        <v>0</v>
      </c>
    </row>
    <row r="1528" spans="1:13">
      <c r="A1528" s="1">
        <f>HYPERLINK("http://www.twitter.com/NathanBLawrence/status/954394951160352769", "954394951160352769")</f>
        <v/>
      </c>
      <c r="B1528" s="2" t="n">
        <v>43119.69979166667</v>
      </c>
      <c r="C1528" t="n">
        <v>1</v>
      </c>
      <c r="D1528" t="n">
        <v>0</v>
      </c>
      <c r="E1528" t="s">
        <v>1539</v>
      </c>
      <c r="F1528" t="s"/>
      <c r="G1528" t="s"/>
      <c r="H1528" t="s"/>
      <c r="I1528" t="s"/>
      <c r="J1528" t="n">
        <v>0</v>
      </c>
      <c r="K1528" t="n">
        <v>0</v>
      </c>
      <c r="L1528" t="n">
        <v>1</v>
      </c>
      <c r="M1528" t="n">
        <v>0</v>
      </c>
    </row>
    <row r="1529" spans="1:13">
      <c r="A1529" s="1">
        <f>HYPERLINK("http://www.twitter.com/NathanBLawrence/status/954386475210199045", "954386475210199045")</f>
        <v/>
      </c>
      <c r="B1529" s="2" t="n">
        <v>43119.67640046297</v>
      </c>
      <c r="C1529" t="n">
        <v>0</v>
      </c>
      <c r="D1529" t="n">
        <v>0</v>
      </c>
      <c r="E1529" t="s">
        <v>1540</v>
      </c>
      <c r="F1529" t="s"/>
      <c r="G1529" t="s"/>
      <c r="H1529" t="s"/>
      <c r="I1529" t="s"/>
      <c r="J1529" t="n">
        <v>0.25</v>
      </c>
      <c r="K1529" t="n">
        <v>0.161</v>
      </c>
      <c r="L1529" t="n">
        <v>0.521</v>
      </c>
      <c r="M1529" t="n">
        <v>0.318</v>
      </c>
    </row>
    <row r="1530" spans="1:13">
      <c r="A1530" s="1">
        <f>HYPERLINK("http://www.twitter.com/NathanBLawrence/status/954381281034465281", "954381281034465281")</f>
        <v/>
      </c>
      <c r="B1530" s="2" t="n">
        <v>43119.66207175926</v>
      </c>
      <c r="C1530" t="n">
        <v>0</v>
      </c>
      <c r="D1530" t="n">
        <v>10719</v>
      </c>
      <c r="E1530" t="s">
        <v>1541</v>
      </c>
      <c r="F1530" t="s"/>
      <c r="G1530" t="s"/>
      <c r="H1530" t="s"/>
      <c r="I1530" t="s"/>
      <c r="J1530" t="n">
        <v>0</v>
      </c>
      <c r="K1530" t="n">
        <v>0</v>
      </c>
      <c r="L1530" t="n">
        <v>1</v>
      </c>
      <c r="M1530" t="n">
        <v>0</v>
      </c>
    </row>
    <row r="1531" spans="1:13">
      <c r="A1531" s="1">
        <f>HYPERLINK("http://www.twitter.com/NathanBLawrence/status/954372323603296256", "954372323603296256")</f>
        <v/>
      </c>
      <c r="B1531" s="2" t="n">
        <v>43119.63734953704</v>
      </c>
      <c r="C1531" t="n">
        <v>0</v>
      </c>
      <c r="D1531" t="n">
        <v>283</v>
      </c>
      <c r="E1531" t="s">
        <v>1542</v>
      </c>
      <c r="F1531">
        <f>HYPERLINK("http://pbs.twimg.com/media/DT3xtkdWkAAJ1lC.jpg", "http://pbs.twimg.com/media/DT3xtkdWkAAJ1lC.jpg")</f>
        <v/>
      </c>
      <c r="G1531" t="s"/>
      <c r="H1531" t="s"/>
      <c r="I1531" t="s"/>
      <c r="J1531" t="n">
        <v>0.8126</v>
      </c>
      <c r="K1531" t="n">
        <v>0</v>
      </c>
      <c r="L1531" t="n">
        <v>0.6820000000000001</v>
      </c>
      <c r="M1531" t="n">
        <v>0.318</v>
      </c>
    </row>
    <row r="1532" spans="1:13">
      <c r="A1532" s="1">
        <f>HYPERLINK("http://www.twitter.com/NathanBLawrence/status/954371023050346497", "954371023050346497")</f>
        <v/>
      </c>
      <c r="B1532" s="2" t="n">
        <v>43119.63376157408</v>
      </c>
      <c r="C1532" t="n">
        <v>1</v>
      </c>
      <c r="D1532" t="n">
        <v>0</v>
      </c>
      <c r="E1532" t="s">
        <v>1543</v>
      </c>
      <c r="F1532" t="s"/>
      <c r="G1532" t="s"/>
      <c r="H1532" t="s"/>
      <c r="I1532" t="s"/>
      <c r="J1532" t="n">
        <v>0</v>
      </c>
      <c r="K1532" t="n">
        <v>0</v>
      </c>
      <c r="L1532" t="n">
        <v>1</v>
      </c>
      <c r="M1532" t="n">
        <v>0</v>
      </c>
    </row>
    <row r="1533" spans="1:13">
      <c r="A1533" s="1">
        <f>HYPERLINK("http://www.twitter.com/NathanBLawrence/status/954366605596774400", "954366605596774400")</f>
        <v/>
      </c>
      <c r="B1533" s="2" t="n">
        <v>43119.62157407407</v>
      </c>
      <c r="C1533" t="n">
        <v>0</v>
      </c>
      <c r="D1533" t="n">
        <v>12917</v>
      </c>
      <c r="E1533" t="s">
        <v>1544</v>
      </c>
      <c r="F1533" t="s"/>
      <c r="G1533" t="s"/>
      <c r="H1533" t="s"/>
      <c r="I1533" t="s"/>
      <c r="J1533" t="n">
        <v>0.0772</v>
      </c>
      <c r="K1533" t="n">
        <v>0.059</v>
      </c>
      <c r="L1533" t="n">
        <v>0.822</v>
      </c>
      <c r="M1533" t="n">
        <v>0.119</v>
      </c>
    </row>
    <row r="1534" spans="1:13">
      <c r="A1534" s="1">
        <f>HYPERLINK("http://www.twitter.com/NathanBLawrence/status/954363182612647937", "954363182612647937")</f>
        <v/>
      </c>
      <c r="B1534" s="2" t="n">
        <v>43119.61212962963</v>
      </c>
      <c r="C1534" t="n">
        <v>1</v>
      </c>
      <c r="D1534" t="n">
        <v>0</v>
      </c>
      <c r="E1534" t="s">
        <v>1545</v>
      </c>
      <c r="F1534" t="s"/>
      <c r="G1534" t="s"/>
      <c r="H1534" t="s"/>
      <c r="I1534" t="s"/>
      <c r="J1534" t="n">
        <v>0</v>
      </c>
      <c r="K1534" t="n">
        <v>0</v>
      </c>
      <c r="L1534" t="n">
        <v>1</v>
      </c>
      <c r="M1534" t="n">
        <v>0</v>
      </c>
    </row>
    <row r="1535" spans="1:13">
      <c r="A1535" s="1">
        <f>HYPERLINK("http://www.twitter.com/NathanBLawrence/status/954348822850924545", "954348822850924545")</f>
        <v/>
      </c>
      <c r="B1535" s="2" t="n">
        <v>43119.5725</v>
      </c>
      <c r="C1535" t="n">
        <v>0</v>
      </c>
      <c r="D1535" t="n">
        <v>11840</v>
      </c>
      <c r="E1535" t="s">
        <v>1546</v>
      </c>
      <c r="F1535">
        <f>HYPERLINK("http://pbs.twimg.com/media/DT3wJVmXcAA6Ka2.jpg", "http://pbs.twimg.com/media/DT3wJVmXcAA6Ka2.jpg")</f>
        <v/>
      </c>
      <c r="G1535" t="s"/>
      <c r="H1535" t="s"/>
      <c r="I1535" t="s"/>
      <c r="J1535" t="n">
        <v>-0.6369</v>
      </c>
      <c r="K1535" t="n">
        <v>0.181</v>
      </c>
      <c r="L1535" t="n">
        <v>0.819</v>
      </c>
      <c r="M1535" t="n">
        <v>0</v>
      </c>
    </row>
    <row r="1536" spans="1:13">
      <c r="A1536" s="1">
        <f>HYPERLINK("http://www.twitter.com/NathanBLawrence/status/954348673332281345", "954348673332281345")</f>
        <v/>
      </c>
      <c r="B1536" s="2" t="n">
        <v>43119.57209490741</v>
      </c>
      <c r="C1536" t="n">
        <v>8</v>
      </c>
      <c r="D1536" t="n">
        <v>3</v>
      </c>
      <c r="E1536" t="s">
        <v>1547</v>
      </c>
      <c r="F1536" t="s"/>
      <c r="G1536" t="s"/>
      <c r="H1536" t="s"/>
      <c r="I1536" t="s"/>
      <c r="J1536" t="n">
        <v>0.4019</v>
      </c>
      <c r="K1536" t="n">
        <v>0</v>
      </c>
      <c r="L1536" t="n">
        <v>0.917</v>
      </c>
      <c r="M1536" t="n">
        <v>0.083</v>
      </c>
    </row>
    <row r="1537" spans="1:13">
      <c r="A1537" s="1">
        <f>HYPERLINK("http://www.twitter.com/NathanBLawrence/status/954345995340480512", "954345995340480512")</f>
        <v/>
      </c>
      <c r="B1537" s="2" t="n">
        <v>43119.56469907407</v>
      </c>
      <c r="C1537" t="n">
        <v>0</v>
      </c>
      <c r="D1537" t="n">
        <v>0</v>
      </c>
      <c r="E1537" t="s">
        <v>1548</v>
      </c>
      <c r="F1537" t="s"/>
      <c r="G1537" t="s"/>
      <c r="H1537" t="s"/>
      <c r="I1537" t="s"/>
      <c r="J1537" t="n">
        <v>0</v>
      </c>
      <c r="K1537" t="n">
        <v>0</v>
      </c>
      <c r="L1537" t="n">
        <v>1</v>
      </c>
      <c r="M1537" t="n">
        <v>0</v>
      </c>
    </row>
    <row r="1538" spans="1:13">
      <c r="A1538" s="1">
        <f>HYPERLINK("http://www.twitter.com/NathanBLawrence/status/954313946852397056", "954313946852397056")</f>
        <v/>
      </c>
      <c r="B1538" s="2" t="n">
        <v>43119.47626157408</v>
      </c>
      <c r="C1538" t="n">
        <v>0</v>
      </c>
      <c r="D1538" t="n">
        <v>1</v>
      </c>
      <c r="E1538" t="s">
        <v>1549</v>
      </c>
      <c r="F1538" t="s"/>
      <c r="G1538" t="s"/>
      <c r="H1538" t="s"/>
      <c r="I1538" t="s"/>
      <c r="J1538" t="n">
        <v>0</v>
      </c>
      <c r="K1538" t="n">
        <v>0</v>
      </c>
      <c r="L1538" t="n">
        <v>1</v>
      </c>
      <c r="M1538" t="n">
        <v>0</v>
      </c>
    </row>
    <row r="1539" spans="1:13">
      <c r="A1539" s="1">
        <f>HYPERLINK("http://www.twitter.com/NathanBLawrence/status/954313926384156672", "954313926384156672")</f>
        <v/>
      </c>
      <c r="B1539" s="2" t="n">
        <v>43119.47621527778</v>
      </c>
      <c r="C1539" t="n">
        <v>0</v>
      </c>
      <c r="D1539" t="n">
        <v>1</v>
      </c>
      <c r="E1539" t="s">
        <v>1550</v>
      </c>
      <c r="F1539" t="s"/>
      <c r="G1539" t="s"/>
      <c r="H1539" t="s"/>
      <c r="I1539" t="s"/>
      <c r="J1539" t="n">
        <v>0</v>
      </c>
      <c r="K1539" t="n">
        <v>0</v>
      </c>
      <c r="L1539" t="n">
        <v>1</v>
      </c>
      <c r="M1539" t="n">
        <v>0</v>
      </c>
    </row>
    <row r="1540" spans="1:13">
      <c r="A1540" s="1">
        <f>HYPERLINK("http://www.twitter.com/NathanBLawrence/status/954313800240558080", "954313800240558080")</f>
        <v/>
      </c>
      <c r="B1540" s="2" t="n">
        <v>43119.47585648148</v>
      </c>
      <c r="C1540" t="n">
        <v>0</v>
      </c>
      <c r="D1540" t="n">
        <v>0</v>
      </c>
      <c r="E1540" t="s">
        <v>1551</v>
      </c>
      <c r="F1540" t="s"/>
      <c r="G1540" t="s"/>
      <c r="H1540" t="s"/>
      <c r="I1540" t="s"/>
      <c r="J1540" t="n">
        <v>0</v>
      </c>
      <c r="K1540" t="n">
        <v>0</v>
      </c>
      <c r="L1540" t="n">
        <v>1</v>
      </c>
      <c r="M1540" t="n">
        <v>0</v>
      </c>
    </row>
    <row r="1541" spans="1:13">
      <c r="A1541" s="1">
        <f>HYPERLINK("http://www.twitter.com/NathanBLawrence/status/954313164522434560", "954313164522434560")</f>
        <v/>
      </c>
      <c r="B1541" s="2" t="n">
        <v>43119.4741087963</v>
      </c>
      <c r="C1541" t="n">
        <v>3</v>
      </c>
      <c r="D1541" t="n">
        <v>0</v>
      </c>
      <c r="E1541" t="s">
        <v>1552</v>
      </c>
      <c r="F1541" t="s"/>
      <c r="G1541" t="s"/>
      <c r="H1541" t="s"/>
      <c r="I1541" t="s"/>
      <c r="J1541" t="n">
        <v>0.5826</v>
      </c>
      <c r="K1541" t="n">
        <v>0</v>
      </c>
      <c r="L1541" t="n">
        <v>0.704</v>
      </c>
      <c r="M1541" t="n">
        <v>0.296</v>
      </c>
    </row>
    <row r="1542" spans="1:13">
      <c r="A1542" s="1">
        <f>HYPERLINK("http://www.twitter.com/NathanBLawrence/status/954214664610746368", "954214664610746368")</f>
        <v/>
      </c>
      <c r="B1542" s="2" t="n">
        <v>43119.20230324074</v>
      </c>
      <c r="C1542" t="n">
        <v>0</v>
      </c>
      <c r="D1542" t="n">
        <v>845</v>
      </c>
      <c r="E1542" t="s">
        <v>1553</v>
      </c>
      <c r="F1542" t="s"/>
      <c r="G1542" t="s"/>
      <c r="H1542" t="s"/>
      <c r="I1542" t="s"/>
      <c r="J1542" t="n">
        <v>0</v>
      </c>
      <c r="K1542" t="n">
        <v>0</v>
      </c>
      <c r="L1542" t="n">
        <v>1</v>
      </c>
      <c r="M1542" t="n">
        <v>0</v>
      </c>
    </row>
    <row r="1543" spans="1:13">
      <c r="A1543" s="1">
        <f>HYPERLINK("http://www.twitter.com/NathanBLawrence/status/954214405406904321", "954214405406904321")</f>
        <v/>
      </c>
      <c r="B1543" s="2" t="n">
        <v>43119.20158564814</v>
      </c>
      <c r="C1543" t="n">
        <v>0</v>
      </c>
      <c r="D1543" t="n">
        <v>43933</v>
      </c>
      <c r="E1543" t="s">
        <v>1554</v>
      </c>
      <c r="F1543" t="s"/>
      <c r="G1543" t="s"/>
      <c r="H1543" t="s"/>
      <c r="I1543" t="s"/>
      <c r="J1543" t="n">
        <v>-0.0772</v>
      </c>
      <c r="K1543" t="n">
        <v>0.181</v>
      </c>
      <c r="L1543" t="n">
        <v>0.647</v>
      </c>
      <c r="M1543" t="n">
        <v>0.172</v>
      </c>
    </row>
    <row r="1544" spans="1:13">
      <c r="A1544" s="1">
        <f>HYPERLINK("http://www.twitter.com/NathanBLawrence/status/954213014802194432", "954213014802194432")</f>
        <v/>
      </c>
      <c r="B1544" s="2" t="n">
        <v>43119.19774305556</v>
      </c>
      <c r="C1544" t="n">
        <v>0</v>
      </c>
      <c r="D1544" t="n">
        <v>11003</v>
      </c>
      <c r="E1544" t="s">
        <v>1555</v>
      </c>
      <c r="F1544" t="s"/>
      <c r="G1544" t="s"/>
      <c r="H1544" t="s"/>
      <c r="I1544" t="s"/>
      <c r="J1544" t="n">
        <v>0.6124000000000001</v>
      </c>
      <c r="K1544" t="n">
        <v>0</v>
      </c>
      <c r="L1544" t="n">
        <v>0.792</v>
      </c>
      <c r="M1544" t="n">
        <v>0.208</v>
      </c>
    </row>
    <row r="1545" spans="1:13">
      <c r="A1545" s="1">
        <f>HYPERLINK("http://www.twitter.com/NathanBLawrence/status/954212908413710336", "954212908413710336")</f>
        <v/>
      </c>
      <c r="B1545" s="2" t="n">
        <v>43119.1974537037</v>
      </c>
      <c r="C1545" t="n">
        <v>0</v>
      </c>
      <c r="D1545" t="n">
        <v>45964</v>
      </c>
      <c r="E1545" t="s">
        <v>1556</v>
      </c>
      <c r="F1545">
        <f>HYPERLINK("https://video.twimg.com/ext_tw_video/954198625604784129/pu/vid/1280x720/hcw2-gAUtlewGma5.mp4", "https://video.twimg.com/ext_tw_video/954198625604784129/pu/vid/1280x720/hcw2-gAUtlewGma5.mp4")</f>
        <v/>
      </c>
      <c r="G1545" t="s"/>
      <c r="H1545" t="s"/>
      <c r="I1545" t="s"/>
      <c r="J1545" t="n">
        <v>-0.5574</v>
      </c>
      <c r="K1545" t="n">
        <v>0.153</v>
      </c>
      <c r="L1545" t="n">
        <v>0.847</v>
      </c>
      <c r="M1545" t="n">
        <v>0</v>
      </c>
    </row>
    <row r="1546" spans="1:13">
      <c r="A1546" s="1">
        <f>HYPERLINK("http://www.twitter.com/NathanBLawrence/status/954187077872246784", "954187077872246784")</f>
        <v/>
      </c>
      <c r="B1546" s="2" t="n">
        <v>43119.12616898148</v>
      </c>
      <c r="C1546" t="n">
        <v>0</v>
      </c>
      <c r="D1546" t="n">
        <v>0</v>
      </c>
      <c r="E1546" t="s">
        <v>1557</v>
      </c>
      <c r="F1546" t="s"/>
      <c r="G1546" t="s"/>
      <c r="H1546" t="s"/>
      <c r="I1546" t="s"/>
      <c r="J1546" t="n">
        <v>-0.7633</v>
      </c>
      <c r="K1546" t="n">
        <v>0.23</v>
      </c>
      <c r="L1546" t="n">
        <v>0.77</v>
      </c>
      <c r="M1546" t="n">
        <v>0</v>
      </c>
    </row>
    <row r="1547" spans="1:13">
      <c r="A1547" s="1">
        <f>HYPERLINK("http://www.twitter.com/NathanBLawrence/status/954185945250783233", "954185945250783233")</f>
        <v/>
      </c>
      <c r="B1547" s="2" t="n">
        <v>43119.12304398148</v>
      </c>
      <c r="C1547" t="n">
        <v>2</v>
      </c>
      <c r="D1547" t="n">
        <v>3</v>
      </c>
      <c r="E1547" t="s">
        <v>1558</v>
      </c>
      <c r="F1547" t="s"/>
      <c r="G1547" t="s"/>
      <c r="H1547" t="s"/>
      <c r="I1547" t="s"/>
      <c r="J1547" t="n">
        <v>0.4738</v>
      </c>
      <c r="K1547" t="n">
        <v>0</v>
      </c>
      <c r="L1547" t="n">
        <v>0.745</v>
      </c>
      <c r="M1547" t="n">
        <v>0.255</v>
      </c>
    </row>
    <row r="1548" spans="1:13">
      <c r="A1548" s="1">
        <f>HYPERLINK("http://www.twitter.com/NathanBLawrence/status/954185606694916096", "954185606694916096")</f>
        <v/>
      </c>
      <c r="B1548" s="2" t="n">
        <v>43119.12211805556</v>
      </c>
      <c r="C1548" t="n">
        <v>1</v>
      </c>
      <c r="D1548" t="n">
        <v>0</v>
      </c>
      <c r="E1548" t="s">
        <v>1559</v>
      </c>
      <c r="F1548" t="s"/>
      <c r="G1548" t="s"/>
      <c r="H1548" t="s"/>
      <c r="I1548" t="s"/>
      <c r="J1548" t="n">
        <v>0</v>
      </c>
      <c r="K1548" t="n">
        <v>0</v>
      </c>
      <c r="L1548" t="n">
        <v>1</v>
      </c>
      <c r="M1548" t="n">
        <v>0</v>
      </c>
    </row>
    <row r="1549" spans="1:13">
      <c r="A1549" s="1">
        <f>HYPERLINK("http://www.twitter.com/NathanBLawrence/status/954185292638023681", "954185292638023681")</f>
        <v/>
      </c>
      <c r="B1549" s="2" t="n">
        <v>43119.12125</v>
      </c>
      <c r="C1549" t="n">
        <v>0</v>
      </c>
      <c r="D1549" t="n">
        <v>0</v>
      </c>
      <c r="E1549" t="s">
        <v>1560</v>
      </c>
      <c r="F1549" t="s"/>
      <c r="G1549" t="s"/>
      <c r="H1549" t="s"/>
      <c r="I1549" t="s"/>
      <c r="J1549" t="n">
        <v>0</v>
      </c>
      <c r="K1549" t="n">
        <v>0</v>
      </c>
      <c r="L1549" t="n">
        <v>1</v>
      </c>
      <c r="M1549" t="n">
        <v>0</v>
      </c>
    </row>
    <row r="1550" spans="1:13">
      <c r="A1550" s="1">
        <f>HYPERLINK("http://www.twitter.com/NathanBLawrence/status/954183979980206080", "954183979980206080")</f>
        <v/>
      </c>
      <c r="B1550" s="2" t="n">
        <v>43119.11762731482</v>
      </c>
      <c r="C1550" t="n">
        <v>0</v>
      </c>
      <c r="D1550" t="n">
        <v>7790</v>
      </c>
      <c r="E1550" t="s">
        <v>1561</v>
      </c>
      <c r="F1550" t="s"/>
      <c r="G1550" t="s"/>
      <c r="H1550" t="s"/>
      <c r="I1550" t="s"/>
      <c r="J1550" t="n">
        <v>0.1027</v>
      </c>
      <c r="K1550" t="n">
        <v>0.167</v>
      </c>
      <c r="L1550" t="n">
        <v>0.654</v>
      </c>
      <c r="M1550" t="n">
        <v>0.18</v>
      </c>
    </row>
    <row r="1551" spans="1:13">
      <c r="A1551" s="1">
        <f>HYPERLINK("http://www.twitter.com/NathanBLawrence/status/954182957798952960", "954182957798952960")</f>
        <v/>
      </c>
      <c r="B1551" s="2" t="n">
        <v>43119.11480324074</v>
      </c>
      <c r="C1551" t="n">
        <v>0</v>
      </c>
      <c r="D1551" t="n">
        <v>0</v>
      </c>
      <c r="E1551" t="s">
        <v>1562</v>
      </c>
      <c r="F1551" t="s"/>
      <c r="G1551" t="s"/>
      <c r="H1551" t="s"/>
      <c r="I1551" t="s"/>
      <c r="J1551" t="n">
        <v>0</v>
      </c>
      <c r="K1551" t="n">
        <v>0</v>
      </c>
      <c r="L1551" t="n">
        <v>1</v>
      </c>
      <c r="M1551" t="n">
        <v>0</v>
      </c>
    </row>
    <row r="1552" spans="1:13">
      <c r="A1552" s="1">
        <f>HYPERLINK("http://www.twitter.com/NathanBLawrence/status/954137356751327232", "954137356751327232")</f>
        <v/>
      </c>
      <c r="B1552" s="2" t="n">
        <v>43118.9889699074</v>
      </c>
      <c r="C1552" t="n">
        <v>1</v>
      </c>
      <c r="D1552" t="n">
        <v>1</v>
      </c>
      <c r="E1552" t="s">
        <v>1563</v>
      </c>
      <c r="F1552" t="s"/>
      <c r="G1552" t="s"/>
      <c r="H1552" t="s"/>
      <c r="I1552" t="s"/>
      <c r="J1552" t="n">
        <v>0</v>
      </c>
      <c r="K1552" t="n">
        <v>0</v>
      </c>
      <c r="L1552" t="n">
        <v>1</v>
      </c>
      <c r="M1552" t="n">
        <v>0</v>
      </c>
    </row>
    <row r="1553" spans="1:13">
      <c r="A1553" s="1">
        <f>HYPERLINK("http://www.twitter.com/NathanBLawrence/status/954100647871303680", "954100647871303680")</f>
        <v/>
      </c>
      <c r="B1553" s="2" t="n">
        <v>43118.88767361111</v>
      </c>
      <c r="C1553" t="n">
        <v>0</v>
      </c>
      <c r="D1553" t="n">
        <v>0</v>
      </c>
      <c r="E1553" t="s">
        <v>1564</v>
      </c>
      <c r="F1553" t="s"/>
      <c r="G1553" t="s"/>
      <c r="H1553" t="s"/>
      <c r="I1553" t="s"/>
      <c r="J1553" t="n">
        <v>-0.5216</v>
      </c>
      <c r="K1553" t="n">
        <v>0.529</v>
      </c>
      <c r="L1553" t="n">
        <v>0.471</v>
      </c>
      <c r="M1553" t="n">
        <v>0</v>
      </c>
    </row>
    <row r="1554" spans="1:13">
      <c r="A1554" s="1">
        <f>HYPERLINK("http://www.twitter.com/NathanBLawrence/status/954098847017570306", "954098847017570306")</f>
        <v/>
      </c>
      <c r="B1554" s="2" t="n">
        <v>43118.88270833333</v>
      </c>
      <c r="C1554" t="n">
        <v>0</v>
      </c>
      <c r="D1554" t="n">
        <v>25437</v>
      </c>
      <c r="E1554" t="s">
        <v>1565</v>
      </c>
      <c r="F1554">
        <f>HYPERLINK("https://video.twimg.com/ext_tw_video/954096349720363008/pu/vid/1280x720/0W3HGc7wF07RjLk6.mp4", "https://video.twimg.com/ext_tw_video/954096349720363008/pu/vid/1280x720/0W3HGc7wF07RjLk6.mp4")</f>
        <v/>
      </c>
      <c r="G1554" t="s"/>
      <c r="H1554" t="s"/>
      <c r="I1554" t="s"/>
      <c r="J1554" t="n">
        <v>0.4404</v>
      </c>
      <c r="K1554" t="n">
        <v>0</v>
      </c>
      <c r="L1554" t="n">
        <v>0.843</v>
      </c>
      <c r="M1554" t="n">
        <v>0.157</v>
      </c>
    </row>
    <row r="1555" spans="1:13">
      <c r="A1555" s="1">
        <f>HYPERLINK("http://www.twitter.com/NathanBLawrence/status/954094922268856320", "954094922268856320")</f>
        <v/>
      </c>
      <c r="B1555" s="2" t="n">
        <v>43118.871875</v>
      </c>
      <c r="C1555" t="n">
        <v>0</v>
      </c>
      <c r="D1555" t="n">
        <v>4</v>
      </c>
      <c r="E1555" t="s">
        <v>1566</v>
      </c>
      <c r="F1555" t="s"/>
      <c r="G1555" t="s"/>
      <c r="H1555" t="s"/>
      <c r="I1555" t="s"/>
      <c r="J1555" t="n">
        <v>0</v>
      </c>
      <c r="K1555" t="n">
        <v>0</v>
      </c>
      <c r="L1555" t="n">
        <v>1</v>
      </c>
      <c r="M1555" t="n">
        <v>0</v>
      </c>
    </row>
    <row r="1556" spans="1:13">
      <c r="A1556" s="1">
        <f>HYPERLINK("http://www.twitter.com/NathanBLawrence/status/954089268212838400", "954089268212838400")</f>
        <v/>
      </c>
      <c r="B1556" s="2" t="n">
        <v>43118.85627314815</v>
      </c>
      <c r="C1556" t="n">
        <v>0</v>
      </c>
      <c r="D1556" t="n">
        <v>0</v>
      </c>
      <c r="E1556" t="s">
        <v>1567</v>
      </c>
      <c r="F1556" t="s"/>
      <c r="G1556" t="s"/>
      <c r="H1556" t="s"/>
      <c r="I1556" t="s"/>
      <c r="J1556" t="n">
        <v>0</v>
      </c>
      <c r="K1556" t="n">
        <v>0</v>
      </c>
      <c r="L1556" t="n">
        <v>1</v>
      </c>
      <c r="M1556" t="n">
        <v>0</v>
      </c>
    </row>
    <row r="1557" spans="1:13">
      <c r="A1557" s="1">
        <f>HYPERLINK("http://www.twitter.com/NathanBLawrence/status/954033675901067264", "954033675901067264")</f>
        <v/>
      </c>
      <c r="B1557" s="2" t="n">
        <v>43118.70287037037</v>
      </c>
      <c r="C1557" t="n">
        <v>0</v>
      </c>
      <c r="D1557" t="n">
        <v>0</v>
      </c>
      <c r="E1557" t="s">
        <v>1568</v>
      </c>
      <c r="F1557" t="s"/>
      <c r="G1557" t="s"/>
      <c r="H1557" t="s"/>
      <c r="I1557" t="s"/>
      <c r="J1557" t="n">
        <v>0.7003</v>
      </c>
      <c r="K1557" t="n">
        <v>0</v>
      </c>
      <c r="L1557" t="n">
        <v>0.805</v>
      </c>
      <c r="M1557" t="n">
        <v>0.195</v>
      </c>
    </row>
    <row r="1558" spans="1:13">
      <c r="A1558" s="1">
        <f>HYPERLINK("http://www.twitter.com/NathanBLawrence/status/954031464739495936", "954031464739495936")</f>
        <v/>
      </c>
      <c r="B1558" s="2" t="n">
        <v>43118.69675925926</v>
      </c>
      <c r="C1558" t="n">
        <v>0</v>
      </c>
      <c r="D1558" t="n">
        <v>0</v>
      </c>
      <c r="E1558" t="s">
        <v>1569</v>
      </c>
      <c r="F1558" t="s"/>
      <c r="G1558" t="s"/>
      <c r="H1558" t="s"/>
      <c r="I1558" t="s"/>
      <c r="J1558" t="n">
        <v>-0.7269</v>
      </c>
      <c r="K1558" t="n">
        <v>0.217</v>
      </c>
      <c r="L1558" t="n">
        <v>0.783</v>
      </c>
      <c r="M1558" t="n">
        <v>0</v>
      </c>
    </row>
    <row r="1559" spans="1:13">
      <c r="A1559" s="1">
        <f>HYPERLINK("http://www.twitter.com/NathanBLawrence/status/954022493777428482", "954022493777428482")</f>
        <v/>
      </c>
      <c r="B1559" s="2" t="n">
        <v>43118.67201388889</v>
      </c>
      <c r="C1559" t="n">
        <v>0</v>
      </c>
      <c r="D1559" t="n">
        <v>0</v>
      </c>
      <c r="E1559" t="s">
        <v>1570</v>
      </c>
      <c r="F1559" t="s"/>
      <c r="G1559" t="s"/>
      <c r="H1559" t="s"/>
      <c r="I1559" t="s"/>
      <c r="J1559" t="n">
        <v>-0.4767</v>
      </c>
      <c r="K1559" t="n">
        <v>0.437</v>
      </c>
      <c r="L1559" t="n">
        <v>0.5629999999999999</v>
      </c>
      <c r="M1559" t="n">
        <v>0</v>
      </c>
    </row>
    <row r="1560" spans="1:13">
      <c r="A1560" s="1">
        <f>HYPERLINK("http://www.twitter.com/NathanBLawrence/status/953797463101591552", "953797463101591552")</f>
        <v/>
      </c>
      <c r="B1560" s="2" t="n">
        <v>43118.05104166667</v>
      </c>
      <c r="C1560" t="n">
        <v>0</v>
      </c>
      <c r="D1560" t="n">
        <v>0</v>
      </c>
      <c r="E1560" t="s">
        <v>1571</v>
      </c>
      <c r="F1560" t="s"/>
      <c r="G1560" t="s"/>
      <c r="H1560" t="s"/>
      <c r="I1560" t="s"/>
      <c r="J1560" t="n">
        <v>0</v>
      </c>
      <c r="K1560" t="n">
        <v>0</v>
      </c>
      <c r="L1560" t="n">
        <v>1</v>
      </c>
      <c r="M1560" t="n">
        <v>0</v>
      </c>
    </row>
    <row r="1561" spans="1:13">
      <c r="A1561" s="1">
        <f>HYPERLINK("http://www.twitter.com/NathanBLawrence/status/953785269697830912", "953785269697830912")</f>
        <v/>
      </c>
      <c r="B1561" s="2" t="n">
        <v>43118.01739583333</v>
      </c>
      <c r="C1561" t="n">
        <v>0</v>
      </c>
      <c r="D1561" t="n">
        <v>0</v>
      </c>
      <c r="E1561" t="s">
        <v>1572</v>
      </c>
      <c r="F1561" t="s"/>
      <c r="G1561" t="s"/>
      <c r="H1561" t="s"/>
      <c r="I1561" t="s"/>
      <c r="J1561" t="n">
        <v>-0.3612</v>
      </c>
      <c r="K1561" t="n">
        <v>0.172</v>
      </c>
      <c r="L1561" t="n">
        <v>0.828</v>
      </c>
      <c r="M1561" t="n">
        <v>0</v>
      </c>
    </row>
    <row r="1562" spans="1:13">
      <c r="A1562" s="1">
        <f>HYPERLINK("http://www.twitter.com/NathanBLawrence/status/953771417543245830", "953771417543245830")</f>
        <v/>
      </c>
      <c r="B1562" s="2" t="n">
        <v>43117.97916666666</v>
      </c>
      <c r="C1562" t="n">
        <v>0</v>
      </c>
      <c r="D1562" t="n">
        <v>475</v>
      </c>
      <c r="E1562" t="s">
        <v>1573</v>
      </c>
      <c r="F1562">
        <f>HYPERLINK("http://pbs.twimg.com/media/DTw17dOX4AA-KMr.jpg", "http://pbs.twimg.com/media/DTw17dOX4AA-KMr.jpg")</f>
        <v/>
      </c>
      <c r="G1562" t="s"/>
      <c r="H1562" t="s"/>
      <c r="I1562" t="s"/>
      <c r="J1562" t="n">
        <v>0.8302</v>
      </c>
      <c r="K1562" t="n">
        <v>0</v>
      </c>
      <c r="L1562" t="n">
        <v>0.6860000000000001</v>
      </c>
      <c r="M1562" t="n">
        <v>0.314</v>
      </c>
    </row>
    <row r="1563" spans="1:13">
      <c r="A1563" s="1">
        <f>HYPERLINK("http://www.twitter.com/NathanBLawrence/status/953742247530565632", "953742247530565632")</f>
        <v/>
      </c>
      <c r="B1563" s="2" t="n">
        <v>43117.89868055555</v>
      </c>
      <c r="C1563" t="n">
        <v>1</v>
      </c>
      <c r="D1563" t="n">
        <v>0</v>
      </c>
      <c r="E1563" t="s">
        <v>1574</v>
      </c>
      <c r="F1563" t="s"/>
      <c r="G1563" t="s"/>
      <c r="H1563" t="s"/>
      <c r="I1563" t="s"/>
      <c r="J1563" t="n">
        <v>-0.296</v>
      </c>
      <c r="K1563" t="n">
        <v>0.167</v>
      </c>
      <c r="L1563" t="n">
        <v>0.833</v>
      </c>
      <c r="M1563" t="n">
        <v>0</v>
      </c>
    </row>
    <row r="1564" spans="1:13">
      <c r="A1564" s="1">
        <f>HYPERLINK("http://www.twitter.com/NathanBLawrence/status/953740712062980096", "953740712062980096")</f>
        <v/>
      </c>
      <c r="B1564" s="2" t="n">
        <v>43117.89444444444</v>
      </c>
      <c r="C1564" t="n">
        <v>0</v>
      </c>
      <c r="D1564" t="n">
        <v>437</v>
      </c>
      <c r="E1564" t="s">
        <v>1575</v>
      </c>
      <c r="F1564" t="s"/>
      <c r="G1564" t="s"/>
      <c r="H1564" t="s"/>
      <c r="I1564" t="s"/>
      <c r="J1564" t="n">
        <v>0.5610000000000001</v>
      </c>
      <c r="K1564" t="n">
        <v>0.1</v>
      </c>
      <c r="L1564" t="n">
        <v>0.681</v>
      </c>
      <c r="M1564" t="n">
        <v>0.219</v>
      </c>
    </row>
    <row r="1565" spans="1:13">
      <c r="A1565" s="1">
        <f>HYPERLINK("http://www.twitter.com/NathanBLawrence/status/953739571623284737", "953739571623284737")</f>
        <v/>
      </c>
      <c r="B1565" s="2" t="n">
        <v>43117.89129629629</v>
      </c>
      <c r="C1565" t="n">
        <v>0</v>
      </c>
      <c r="D1565" t="n">
        <v>0</v>
      </c>
      <c r="E1565" t="s">
        <v>1576</v>
      </c>
      <c r="F1565" t="s"/>
      <c r="G1565" t="s"/>
      <c r="H1565" t="s"/>
      <c r="I1565" t="s"/>
      <c r="J1565" t="n">
        <v>0</v>
      </c>
      <c r="K1565" t="n">
        <v>0</v>
      </c>
      <c r="L1565" t="n">
        <v>1</v>
      </c>
      <c r="M1565" t="n">
        <v>0</v>
      </c>
    </row>
    <row r="1566" spans="1:13">
      <c r="A1566" s="1">
        <f>HYPERLINK("http://www.twitter.com/NathanBLawrence/status/953682429377679360", "953682429377679360")</f>
        <v/>
      </c>
      <c r="B1566" s="2" t="n">
        <v>43117.73361111111</v>
      </c>
      <c r="C1566" t="n">
        <v>0</v>
      </c>
      <c r="D1566" t="n">
        <v>276</v>
      </c>
      <c r="E1566" t="s">
        <v>1577</v>
      </c>
      <c r="F1566">
        <f>HYPERLINK("http://pbs.twimg.com/media/DSt_DJOXkAAWMRS.jpg", "http://pbs.twimg.com/media/DSt_DJOXkAAWMRS.jpg")</f>
        <v/>
      </c>
      <c r="G1566" t="s"/>
      <c r="H1566" t="s"/>
      <c r="I1566" t="s"/>
      <c r="J1566" t="n">
        <v>0.4019</v>
      </c>
      <c r="K1566" t="n">
        <v>0</v>
      </c>
      <c r="L1566" t="n">
        <v>0.891</v>
      </c>
      <c r="M1566" t="n">
        <v>0.109</v>
      </c>
    </row>
    <row r="1567" spans="1:13">
      <c r="A1567" s="1">
        <f>HYPERLINK("http://www.twitter.com/NathanBLawrence/status/953680758635458566", "953680758635458566")</f>
        <v/>
      </c>
      <c r="B1567" s="2" t="n">
        <v>43117.72900462963</v>
      </c>
      <c r="C1567" t="n">
        <v>0</v>
      </c>
      <c r="D1567" t="n">
        <v>0</v>
      </c>
      <c r="E1567" t="s">
        <v>1578</v>
      </c>
      <c r="F1567" t="s"/>
      <c r="G1567" t="s"/>
      <c r="H1567" t="s"/>
      <c r="I1567" t="s"/>
      <c r="J1567" t="n">
        <v>0</v>
      </c>
      <c r="K1567" t="n">
        <v>0</v>
      </c>
      <c r="L1567" t="n">
        <v>1</v>
      </c>
      <c r="M1567" t="n">
        <v>0</v>
      </c>
    </row>
    <row r="1568" spans="1:13">
      <c r="A1568" s="1">
        <f>HYPERLINK("http://www.twitter.com/NathanBLawrence/status/953675182073368576", "953675182073368576")</f>
        <v/>
      </c>
      <c r="B1568" s="2" t="n">
        <v>43117.71361111111</v>
      </c>
      <c r="C1568" t="n">
        <v>0</v>
      </c>
      <c r="D1568" t="n">
        <v>0</v>
      </c>
      <c r="E1568" t="s">
        <v>1579</v>
      </c>
      <c r="F1568">
        <f>HYPERLINK("http://pbs.twimg.com/media/DTwighKX4AEobn2.jpg", "http://pbs.twimg.com/media/DTwighKX4AEobn2.jpg")</f>
        <v/>
      </c>
      <c r="G1568" t="s"/>
      <c r="H1568" t="s"/>
      <c r="I1568" t="s"/>
      <c r="J1568" t="n">
        <v>0</v>
      </c>
      <c r="K1568" t="n">
        <v>0</v>
      </c>
      <c r="L1568" t="n">
        <v>1</v>
      </c>
      <c r="M1568" t="n">
        <v>0</v>
      </c>
    </row>
    <row r="1569" spans="1:13">
      <c r="A1569" s="1">
        <f>HYPERLINK("http://www.twitter.com/NathanBLawrence/status/953650741943717890", "953650741943717890")</f>
        <v/>
      </c>
      <c r="B1569" s="2" t="n">
        <v>43117.64616898148</v>
      </c>
      <c r="C1569" t="n">
        <v>0</v>
      </c>
      <c r="D1569" t="n">
        <v>9</v>
      </c>
      <c r="E1569" t="s">
        <v>1580</v>
      </c>
      <c r="F1569" t="s"/>
      <c r="G1569" t="s"/>
      <c r="H1569" t="s"/>
      <c r="I1569" t="s"/>
      <c r="J1569" t="n">
        <v>0</v>
      </c>
      <c r="K1569" t="n">
        <v>0</v>
      </c>
      <c r="L1569" t="n">
        <v>1</v>
      </c>
      <c r="M1569" t="n">
        <v>0</v>
      </c>
    </row>
    <row r="1570" spans="1:13">
      <c r="A1570" s="1">
        <f>HYPERLINK("http://www.twitter.com/NathanBLawrence/status/953646603914670081", "953646603914670081")</f>
        <v/>
      </c>
      <c r="B1570" s="2" t="n">
        <v>43117.63474537037</v>
      </c>
      <c r="C1570" t="n">
        <v>0</v>
      </c>
      <c r="D1570" t="n">
        <v>0</v>
      </c>
      <c r="E1570" t="s">
        <v>1581</v>
      </c>
      <c r="F1570" t="s"/>
      <c r="G1570" t="s"/>
      <c r="H1570" t="s"/>
      <c r="I1570" t="s"/>
      <c r="J1570" t="n">
        <v>-0.6449</v>
      </c>
      <c r="K1570" t="n">
        <v>0.299</v>
      </c>
      <c r="L1570" t="n">
        <v>0.701</v>
      </c>
      <c r="M1570" t="n">
        <v>0</v>
      </c>
    </row>
    <row r="1571" spans="1:13">
      <c r="A1571" s="1">
        <f>HYPERLINK("http://www.twitter.com/NathanBLawrence/status/953644118185533440", "953644118185533440")</f>
        <v/>
      </c>
      <c r="B1571" s="2" t="n">
        <v>43117.62789351852</v>
      </c>
      <c r="C1571" t="n">
        <v>0</v>
      </c>
      <c r="D1571" t="n">
        <v>0</v>
      </c>
      <c r="E1571" t="s">
        <v>1582</v>
      </c>
      <c r="F1571" t="s"/>
      <c r="G1571" t="s"/>
      <c r="H1571" t="s"/>
      <c r="I1571" t="s"/>
      <c r="J1571" t="n">
        <v>0</v>
      </c>
      <c r="K1571" t="n">
        <v>0</v>
      </c>
      <c r="L1571" t="n">
        <v>1</v>
      </c>
      <c r="M1571" t="n">
        <v>0</v>
      </c>
    </row>
    <row r="1572" spans="1:13">
      <c r="A1572" s="1">
        <f>HYPERLINK("http://www.twitter.com/NathanBLawrence/status/953642570080497664", "953642570080497664")</f>
        <v/>
      </c>
      <c r="B1572" s="2" t="n">
        <v>43117.62362268518</v>
      </c>
      <c r="C1572" t="n">
        <v>1</v>
      </c>
      <c r="D1572" t="n">
        <v>0</v>
      </c>
      <c r="E1572" t="s">
        <v>1583</v>
      </c>
      <c r="F1572" t="s"/>
      <c r="G1572" t="s"/>
      <c r="H1572" t="s"/>
      <c r="I1572" t="s"/>
      <c r="J1572" t="n">
        <v>0</v>
      </c>
      <c r="K1572" t="n">
        <v>0</v>
      </c>
      <c r="L1572" t="n">
        <v>1</v>
      </c>
      <c r="M1572" t="n">
        <v>0</v>
      </c>
    </row>
    <row r="1573" spans="1:13">
      <c r="A1573" s="1">
        <f>HYPERLINK("http://www.twitter.com/NathanBLawrence/status/953616267394670593", "953616267394670593")</f>
        <v/>
      </c>
      <c r="B1573" s="2" t="n">
        <v>43117.55104166667</v>
      </c>
      <c r="C1573" t="n">
        <v>2</v>
      </c>
      <c r="D1573" t="n">
        <v>0</v>
      </c>
      <c r="E1573" t="s">
        <v>1584</v>
      </c>
      <c r="F1573" t="s"/>
      <c r="G1573" t="s"/>
      <c r="H1573" t="s"/>
      <c r="I1573" t="s"/>
      <c r="J1573" t="n">
        <v>-0.212</v>
      </c>
      <c r="K1573" t="n">
        <v>0.107</v>
      </c>
      <c r="L1573" t="n">
        <v>0.829</v>
      </c>
      <c r="M1573" t="n">
        <v>0.064</v>
      </c>
    </row>
    <row r="1574" spans="1:13">
      <c r="A1574" s="1">
        <f>HYPERLINK("http://www.twitter.com/NathanBLawrence/status/953449117019230209", "953449117019230209")</f>
        <v/>
      </c>
      <c r="B1574" s="2" t="n">
        <v>43117.08979166667</v>
      </c>
      <c r="C1574" t="n">
        <v>0</v>
      </c>
      <c r="D1574" t="n">
        <v>1</v>
      </c>
      <c r="E1574" t="s">
        <v>1585</v>
      </c>
      <c r="F1574" t="s"/>
      <c r="G1574" t="s"/>
      <c r="H1574" t="s"/>
      <c r="I1574" t="s"/>
      <c r="J1574" t="n">
        <v>0.8804999999999999</v>
      </c>
      <c r="K1574" t="n">
        <v>0</v>
      </c>
      <c r="L1574" t="n">
        <v>0.629</v>
      </c>
      <c r="M1574" t="n">
        <v>0.371</v>
      </c>
    </row>
    <row r="1575" spans="1:13">
      <c r="A1575" s="1">
        <f>HYPERLINK("http://www.twitter.com/NathanBLawrence/status/953445568294064128", "953445568294064128")</f>
        <v/>
      </c>
      <c r="B1575" s="2" t="n">
        <v>43117.08</v>
      </c>
      <c r="C1575" t="n">
        <v>1</v>
      </c>
      <c r="D1575" t="n">
        <v>1</v>
      </c>
      <c r="E1575" t="s">
        <v>1586</v>
      </c>
      <c r="F1575" t="s"/>
      <c r="G1575" t="s"/>
      <c r="H1575" t="s"/>
      <c r="I1575" t="s"/>
      <c r="J1575" t="n">
        <v>0.1531</v>
      </c>
      <c r="K1575" t="n">
        <v>0</v>
      </c>
      <c r="L1575" t="n">
        <v>0.909</v>
      </c>
      <c r="M1575" t="n">
        <v>0.091</v>
      </c>
    </row>
    <row r="1576" spans="1:13">
      <c r="A1576" s="1">
        <f>HYPERLINK("http://www.twitter.com/NathanBLawrence/status/953433444096397312", "953433444096397312")</f>
        <v/>
      </c>
      <c r="B1576" s="2" t="n">
        <v>43117.04653935185</v>
      </c>
      <c r="C1576" t="n">
        <v>0</v>
      </c>
      <c r="D1576" t="n">
        <v>0</v>
      </c>
      <c r="E1576" t="s">
        <v>1587</v>
      </c>
      <c r="F1576" t="s"/>
      <c r="G1576" t="s"/>
      <c r="H1576" t="s"/>
      <c r="I1576" t="s"/>
      <c r="J1576" t="n">
        <v>0</v>
      </c>
      <c r="K1576" t="n">
        <v>0</v>
      </c>
      <c r="L1576" t="n">
        <v>1</v>
      </c>
      <c r="M1576" t="n">
        <v>0</v>
      </c>
    </row>
    <row r="1577" spans="1:13">
      <c r="A1577" s="1">
        <f>HYPERLINK("http://www.twitter.com/NathanBLawrence/status/953309234032267264", "953309234032267264")</f>
        <v/>
      </c>
      <c r="B1577" s="2" t="n">
        <v>43116.70378472222</v>
      </c>
      <c r="C1577" t="n">
        <v>1</v>
      </c>
      <c r="D1577" t="n">
        <v>0</v>
      </c>
      <c r="E1577" t="s">
        <v>1588</v>
      </c>
      <c r="F1577" t="s"/>
      <c r="G1577" t="s"/>
      <c r="H1577" t="s"/>
      <c r="I1577" t="s"/>
      <c r="J1577" t="n">
        <v>0</v>
      </c>
      <c r="K1577" t="n">
        <v>0</v>
      </c>
      <c r="L1577" t="n">
        <v>1</v>
      </c>
      <c r="M1577" t="n">
        <v>0</v>
      </c>
    </row>
    <row r="1578" spans="1:13">
      <c r="A1578" s="1">
        <f>HYPERLINK("http://www.twitter.com/NathanBLawrence/status/953228274876014592", "953228274876014592")</f>
        <v/>
      </c>
      <c r="B1578" s="2" t="n">
        <v>43116.48038194444</v>
      </c>
      <c r="C1578" t="n">
        <v>0</v>
      </c>
      <c r="D1578" t="n">
        <v>0</v>
      </c>
      <c r="E1578" t="s">
        <v>1589</v>
      </c>
      <c r="F1578" t="s"/>
      <c r="G1578" t="s"/>
      <c r="H1578" t="s"/>
      <c r="I1578" t="s"/>
      <c r="J1578" t="n">
        <v>0.858</v>
      </c>
      <c r="K1578" t="n">
        <v>0</v>
      </c>
      <c r="L1578" t="n">
        <v>0.8179999999999999</v>
      </c>
      <c r="M1578" t="n">
        <v>0.182</v>
      </c>
    </row>
    <row r="1579" spans="1:13">
      <c r="A1579" s="1">
        <f>HYPERLINK("http://www.twitter.com/NathanBLawrence/status/953126261198553088", "953126261198553088")</f>
        <v/>
      </c>
      <c r="B1579" s="2" t="n">
        <v>43116.19887731481</v>
      </c>
      <c r="C1579" t="n">
        <v>0</v>
      </c>
      <c r="D1579" t="n">
        <v>0</v>
      </c>
      <c r="E1579" t="s">
        <v>55</v>
      </c>
      <c r="F1579" t="s"/>
      <c r="G1579" t="s"/>
      <c r="H1579" t="s"/>
      <c r="I1579" t="s"/>
      <c r="J1579" t="n">
        <v>0</v>
      </c>
      <c r="K1579" t="n">
        <v>0</v>
      </c>
      <c r="L1579" t="n">
        <v>1</v>
      </c>
      <c r="M1579" t="n">
        <v>0</v>
      </c>
    </row>
    <row r="1580" spans="1:13">
      <c r="A1580" s="1">
        <f>HYPERLINK("http://www.twitter.com/NathanBLawrence/status/953125415526240256", "953125415526240256")</f>
        <v/>
      </c>
      <c r="B1580" s="2" t="n">
        <v>43116.19653935185</v>
      </c>
      <c r="C1580" t="n">
        <v>0</v>
      </c>
      <c r="D1580" t="n">
        <v>0</v>
      </c>
      <c r="E1580" t="s">
        <v>1590</v>
      </c>
      <c r="F1580" t="s"/>
      <c r="G1580" t="s"/>
      <c r="H1580" t="s"/>
      <c r="I1580" t="s"/>
      <c r="J1580" t="n">
        <v>0</v>
      </c>
      <c r="K1580" t="n">
        <v>0</v>
      </c>
      <c r="L1580" t="n">
        <v>1</v>
      </c>
      <c r="M1580" t="n">
        <v>0</v>
      </c>
    </row>
    <row r="1581" spans="1:13">
      <c r="A1581" s="1">
        <f>HYPERLINK("http://www.twitter.com/NathanBLawrence/status/953051449168220160", "953051449168220160")</f>
        <v/>
      </c>
      <c r="B1581" s="2" t="n">
        <v>43115.99243055555</v>
      </c>
      <c r="C1581" t="n">
        <v>0</v>
      </c>
      <c r="D1581" t="n">
        <v>0</v>
      </c>
      <c r="E1581" t="s">
        <v>1591</v>
      </c>
      <c r="F1581" t="s"/>
      <c r="G1581" t="s"/>
      <c r="H1581" t="s"/>
      <c r="I1581" t="s"/>
      <c r="J1581" t="n">
        <v>0.7887999999999999</v>
      </c>
      <c r="K1581" t="n">
        <v>0</v>
      </c>
      <c r="L1581" t="n">
        <v>0.751</v>
      </c>
      <c r="M1581" t="n">
        <v>0.249</v>
      </c>
    </row>
    <row r="1582" spans="1:13">
      <c r="A1582" s="1">
        <f>HYPERLINK("http://www.twitter.com/NathanBLawrence/status/953050412134920194", "953050412134920194")</f>
        <v/>
      </c>
      <c r="B1582" s="2" t="n">
        <v>43115.98957175926</v>
      </c>
      <c r="C1582" t="n">
        <v>0</v>
      </c>
      <c r="D1582" t="n">
        <v>0</v>
      </c>
      <c r="E1582" t="s">
        <v>1592</v>
      </c>
      <c r="F1582" t="s"/>
      <c r="G1582" t="s"/>
      <c r="H1582" t="s"/>
      <c r="I1582" t="s"/>
      <c r="J1582" t="n">
        <v>0</v>
      </c>
      <c r="K1582" t="n">
        <v>0</v>
      </c>
      <c r="L1582" t="n">
        <v>1</v>
      </c>
      <c r="M1582" t="n">
        <v>0</v>
      </c>
    </row>
    <row r="1583" spans="1:13">
      <c r="A1583" s="1">
        <f>HYPERLINK("http://www.twitter.com/NathanBLawrence/status/953009722428416000", "953009722428416000")</f>
        <v/>
      </c>
      <c r="B1583" s="2" t="n">
        <v>43115.87729166666</v>
      </c>
      <c r="C1583" t="n">
        <v>0</v>
      </c>
      <c r="D1583" t="n">
        <v>0</v>
      </c>
      <c r="E1583" t="s">
        <v>1593</v>
      </c>
      <c r="F1583" t="s"/>
      <c r="G1583" t="s"/>
      <c r="H1583" t="s"/>
      <c r="I1583" t="s"/>
      <c r="J1583" t="n">
        <v>0</v>
      </c>
      <c r="K1583" t="n">
        <v>0</v>
      </c>
      <c r="L1583" t="n">
        <v>1</v>
      </c>
      <c r="M1583" t="n">
        <v>0</v>
      </c>
    </row>
    <row r="1584" spans="1:13">
      <c r="A1584" s="1">
        <f>HYPERLINK("http://www.twitter.com/NathanBLawrence/status/953008356087693318", "953008356087693318")</f>
        <v/>
      </c>
      <c r="B1584" s="2" t="n">
        <v>43115.87351851852</v>
      </c>
      <c r="C1584" t="n">
        <v>0</v>
      </c>
      <c r="D1584" t="n">
        <v>0</v>
      </c>
      <c r="E1584" t="s">
        <v>1594</v>
      </c>
      <c r="F1584" t="s"/>
      <c r="G1584" t="s"/>
      <c r="H1584" t="s"/>
      <c r="I1584" t="s"/>
      <c r="J1584" t="n">
        <v>0</v>
      </c>
      <c r="K1584" t="n">
        <v>0</v>
      </c>
      <c r="L1584" t="n">
        <v>1</v>
      </c>
      <c r="M1584" t="n">
        <v>0</v>
      </c>
    </row>
    <row r="1585" spans="1:13">
      <c r="A1585" s="1">
        <f>HYPERLINK("http://www.twitter.com/NathanBLawrence/status/953008289796771840", "953008289796771840")</f>
        <v/>
      </c>
      <c r="B1585" s="2" t="n">
        <v>43115.87333333334</v>
      </c>
      <c r="C1585" t="n">
        <v>0</v>
      </c>
      <c r="D1585" t="n">
        <v>29178</v>
      </c>
      <c r="E1585" t="s">
        <v>1595</v>
      </c>
      <c r="F1585" t="s"/>
      <c r="G1585" t="s"/>
      <c r="H1585" t="s"/>
      <c r="I1585" t="s"/>
      <c r="J1585" t="n">
        <v>-0.296</v>
      </c>
      <c r="K1585" t="n">
        <v>0.091</v>
      </c>
      <c r="L1585" t="n">
        <v>0.909</v>
      </c>
      <c r="M1585" t="n">
        <v>0</v>
      </c>
    </row>
    <row r="1586" spans="1:13">
      <c r="A1586" s="1">
        <f>HYPERLINK("http://www.twitter.com/NathanBLawrence/status/953003679145218049", "953003679145218049")</f>
        <v/>
      </c>
      <c r="B1586" s="2" t="n">
        <v>43115.86061342592</v>
      </c>
      <c r="C1586" t="n">
        <v>1</v>
      </c>
      <c r="D1586" t="n">
        <v>0</v>
      </c>
      <c r="E1586" t="s">
        <v>1596</v>
      </c>
      <c r="F1586" t="s"/>
      <c r="G1586" t="s"/>
      <c r="H1586" t="s"/>
      <c r="I1586" t="s"/>
      <c r="J1586" t="n">
        <v>0.3612</v>
      </c>
      <c r="K1586" t="n">
        <v>0</v>
      </c>
      <c r="L1586" t="n">
        <v>0.762</v>
      </c>
      <c r="M1586" t="n">
        <v>0.238</v>
      </c>
    </row>
    <row r="1587" spans="1:13">
      <c r="A1587" s="1">
        <f>HYPERLINK("http://www.twitter.com/NathanBLawrence/status/952962389837864960", "952962389837864960")</f>
        <v/>
      </c>
      <c r="B1587" s="2" t="n">
        <v>43115.74667824074</v>
      </c>
      <c r="C1587" t="n">
        <v>1</v>
      </c>
      <c r="D1587" t="n">
        <v>0</v>
      </c>
      <c r="E1587" t="s">
        <v>1597</v>
      </c>
      <c r="F1587" t="s"/>
      <c r="G1587" t="s"/>
      <c r="H1587" t="s"/>
      <c r="I1587" t="s"/>
      <c r="J1587" t="n">
        <v>0.4738</v>
      </c>
      <c r="K1587" t="n">
        <v>0.134</v>
      </c>
      <c r="L1587" t="n">
        <v>0.5590000000000001</v>
      </c>
      <c r="M1587" t="n">
        <v>0.307</v>
      </c>
    </row>
    <row r="1588" spans="1:13">
      <c r="A1588" s="1">
        <f>HYPERLINK("http://www.twitter.com/NathanBLawrence/status/952945402281627650", "952945402281627650")</f>
        <v/>
      </c>
      <c r="B1588" s="2" t="n">
        <v>43115.69980324074</v>
      </c>
      <c r="C1588" t="n">
        <v>0</v>
      </c>
      <c r="D1588" t="n">
        <v>0</v>
      </c>
      <c r="E1588" t="s">
        <v>1598</v>
      </c>
      <c r="F1588" t="s"/>
      <c r="G1588" t="s"/>
      <c r="H1588" t="s"/>
      <c r="I1588" t="s"/>
      <c r="J1588" t="n">
        <v>-0.7568</v>
      </c>
      <c r="K1588" t="n">
        <v>0.239</v>
      </c>
      <c r="L1588" t="n">
        <v>0.707</v>
      </c>
      <c r="M1588" t="n">
        <v>0.054</v>
      </c>
    </row>
    <row r="1589" spans="1:13">
      <c r="A1589" s="1">
        <f>HYPERLINK("http://www.twitter.com/NathanBLawrence/status/952942724768026627", "952942724768026627")</f>
        <v/>
      </c>
      <c r="B1589" s="2" t="n">
        <v>43115.69241898148</v>
      </c>
      <c r="C1589" t="n">
        <v>0</v>
      </c>
      <c r="D1589" t="n">
        <v>0</v>
      </c>
      <c r="E1589" t="s">
        <v>1599</v>
      </c>
      <c r="F1589" t="s"/>
      <c r="G1589" t="s"/>
      <c r="H1589" t="s"/>
      <c r="I1589" t="s"/>
      <c r="J1589" t="n">
        <v>0</v>
      </c>
      <c r="K1589" t="n">
        <v>0</v>
      </c>
      <c r="L1589" t="n">
        <v>1</v>
      </c>
      <c r="M1589" t="n">
        <v>0</v>
      </c>
    </row>
    <row r="1590" spans="1:13">
      <c r="A1590" s="1">
        <f>HYPERLINK("http://www.twitter.com/NathanBLawrence/status/952914571421011968", "952914571421011968")</f>
        <v/>
      </c>
      <c r="B1590" s="2" t="n">
        <v>43115.61472222222</v>
      </c>
      <c r="C1590" t="n">
        <v>0</v>
      </c>
      <c r="D1590" t="n">
        <v>3</v>
      </c>
      <c r="E1590" t="s">
        <v>1600</v>
      </c>
      <c r="F1590" t="s"/>
      <c r="G1590" t="s"/>
      <c r="H1590" t="s"/>
      <c r="I1590" t="s"/>
      <c r="J1590" t="n">
        <v>0</v>
      </c>
      <c r="K1590" t="n">
        <v>0</v>
      </c>
      <c r="L1590" t="n">
        <v>1</v>
      </c>
      <c r="M1590" t="n">
        <v>0</v>
      </c>
    </row>
    <row r="1591" spans="1:13">
      <c r="A1591" s="1">
        <f>HYPERLINK("http://www.twitter.com/NathanBLawrence/status/952913676146806784", "952913676146806784")</f>
        <v/>
      </c>
      <c r="B1591" s="2" t="n">
        <v>43115.61225694444</v>
      </c>
      <c r="C1591" t="n">
        <v>1</v>
      </c>
      <c r="D1591" t="n">
        <v>0</v>
      </c>
      <c r="E1591" t="s">
        <v>1601</v>
      </c>
      <c r="F1591" t="s"/>
      <c r="G1591" t="s"/>
      <c r="H1591" t="s"/>
      <c r="I1591" t="s"/>
      <c r="J1591" t="n">
        <v>-0.3595</v>
      </c>
      <c r="K1591" t="n">
        <v>0.106</v>
      </c>
      <c r="L1591" t="n">
        <v>0.894</v>
      </c>
      <c r="M1591" t="n">
        <v>0</v>
      </c>
    </row>
    <row r="1592" spans="1:13">
      <c r="A1592" s="1">
        <f>HYPERLINK("http://www.twitter.com/NathanBLawrence/status/952907667831513088", "952907667831513088")</f>
        <v/>
      </c>
      <c r="B1592" s="2" t="n">
        <v>43115.59567129629</v>
      </c>
      <c r="C1592" t="n">
        <v>0</v>
      </c>
      <c r="D1592" t="n">
        <v>0</v>
      </c>
      <c r="E1592" t="s">
        <v>1602</v>
      </c>
      <c r="F1592" t="s"/>
      <c r="G1592" t="s"/>
      <c r="H1592" t="s"/>
      <c r="I1592" t="s"/>
      <c r="J1592" t="n">
        <v>-0.5826</v>
      </c>
      <c r="K1592" t="n">
        <v>0.5570000000000001</v>
      </c>
      <c r="L1592" t="n">
        <v>0.443</v>
      </c>
      <c r="M1592" t="n">
        <v>0</v>
      </c>
    </row>
    <row r="1593" spans="1:13">
      <c r="A1593" s="1">
        <f>HYPERLINK("http://www.twitter.com/NathanBLawrence/status/952905777316016128", "952905777316016128")</f>
        <v/>
      </c>
      <c r="B1593" s="2" t="n">
        <v>43115.59046296297</v>
      </c>
      <c r="C1593" t="n">
        <v>0</v>
      </c>
      <c r="D1593" t="n">
        <v>0</v>
      </c>
      <c r="E1593" t="s">
        <v>1603</v>
      </c>
      <c r="F1593" t="s"/>
      <c r="G1593" t="s"/>
      <c r="H1593" t="s"/>
      <c r="I1593" t="s"/>
      <c r="J1593" t="n">
        <v>0</v>
      </c>
      <c r="K1593" t="n">
        <v>0</v>
      </c>
      <c r="L1593" t="n">
        <v>1</v>
      </c>
      <c r="M1593" t="n">
        <v>0</v>
      </c>
    </row>
    <row r="1594" spans="1:13">
      <c r="A1594" s="1">
        <f>HYPERLINK("http://www.twitter.com/NathanBLawrence/status/952904144007892992", "952904144007892992")</f>
        <v/>
      </c>
      <c r="B1594" s="2" t="n">
        <v>43115.58594907408</v>
      </c>
      <c r="C1594" t="n">
        <v>0</v>
      </c>
      <c r="D1594" t="n">
        <v>0</v>
      </c>
      <c r="E1594" t="s">
        <v>1604</v>
      </c>
      <c r="F1594" t="s"/>
      <c r="G1594" t="s"/>
      <c r="H1594" t="s"/>
      <c r="I1594" t="s"/>
      <c r="J1594" t="n">
        <v>0</v>
      </c>
      <c r="K1594" t="n">
        <v>0</v>
      </c>
      <c r="L1594" t="n">
        <v>1</v>
      </c>
      <c r="M1594" t="n">
        <v>0</v>
      </c>
    </row>
    <row r="1595" spans="1:13">
      <c r="A1595" s="1">
        <f>HYPERLINK("http://www.twitter.com/NathanBLawrence/status/952629630455951360", "952629630455951360")</f>
        <v/>
      </c>
      <c r="B1595" s="2" t="n">
        <v>43114.8284375</v>
      </c>
      <c r="C1595" t="n">
        <v>0</v>
      </c>
      <c r="D1595" t="n">
        <v>0</v>
      </c>
      <c r="E1595" t="s">
        <v>1605</v>
      </c>
      <c r="F1595" t="s"/>
      <c r="G1595" t="s"/>
      <c r="H1595" t="s"/>
      <c r="I1595" t="s"/>
      <c r="J1595" t="n">
        <v>-0.296</v>
      </c>
      <c r="K1595" t="n">
        <v>0.115</v>
      </c>
      <c r="L1595" t="n">
        <v>0.885</v>
      </c>
      <c r="M1595" t="n">
        <v>0</v>
      </c>
    </row>
    <row r="1596" spans="1:13">
      <c r="A1596" s="1">
        <f>HYPERLINK("http://www.twitter.com/NathanBLawrence/status/952303687908626432", "952303687908626432")</f>
        <v/>
      </c>
      <c r="B1596" s="2" t="n">
        <v>43113.92900462963</v>
      </c>
      <c r="C1596" t="n">
        <v>0</v>
      </c>
      <c r="D1596" t="n">
        <v>0</v>
      </c>
      <c r="E1596" t="s">
        <v>1606</v>
      </c>
      <c r="F1596" t="s"/>
      <c r="G1596" t="s"/>
      <c r="H1596" t="s"/>
      <c r="I1596" t="s"/>
      <c r="J1596" t="n">
        <v>-0.6341</v>
      </c>
      <c r="K1596" t="n">
        <v>0.343</v>
      </c>
      <c r="L1596" t="n">
        <v>0.657</v>
      </c>
      <c r="M1596" t="n">
        <v>0</v>
      </c>
    </row>
    <row r="1597" spans="1:13">
      <c r="A1597" s="1">
        <f>HYPERLINK("http://www.twitter.com/NathanBLawrence/status/952283162595528708", "952283162595528708")</f>
        <v/>
      </c>
      <c r="B1597" s="2" t="n">
        <v>43113.87237268518</v>
      </c>
      <c r="C1597" t="n">
        <v>1</v>
      </c>
      <c r="D1597" t="n">
        <v>0</v>
      </c>
      <c r="E1597" t="s">
        <v>1607</v>
      </c>
      <c r="F1597" t="s"/>
      <c r="G1597" t="s"/>
      <c r="H1597" t="s"/>
      <c r="I1597" t="s"/>
      <c r="J1597" t="n">
        <v>-0.7826</v>
      </c>
      <c r="K1597" t="n">
        <v>0.329</v>
      </c>
      <c r="L1597" t="n">
        <v>0.671</v>
      </c>
      <c r="M1597" t="n">
        <v>0</v>
      </c>
    </row>
    <row r="1598" spans="1:13">
      <c r="A1598" s="1">
        <f>HYPERLINK("http://www.twitter.com/NathanBLawrence/status/952252663579774977", "952252663579774977")</f>
        <v/>
      </c>
      <c r="B1598" s="2" t="n">
        <v>43113.78820601852</v>
      </c>
      <c r="C1598" t="n">
        <v>1</v>
      </c>
      <c r="D1598" t="n">
        <v>0</v>
      </c>
      <c r="E1598" t="s">
        <v>1608</v>
      </c>
      <c r="F1598" t="s"/>
      <c r="G1598" t="s"/>
      <c r="H1598" t="s"/>
      <c r="I1598" t="s"/>
      <c r="J1598" t="n">
        <v>0.2732</v>
      </c>
      <c r="K1598" t="n">
        <v>0</v>
      </c>
      <c r="L1598" t="n">
        <v>0.826</v>
      </c>
      <c r="M1598" t="n">
        <v>0.174</v>
      </c>
    </row>
    <row r="1599" spans="1:13">
      <c r="A1599" s="1">
        <f>HYPERLINK("http://www.twitter.com/NathanBLawrence/status/952248328443572224", "952248328443572224")</f>
        <v/>
      </c>
      <c r="B1599" s="2" t="n">
        <v>43113.77625</v>
      </c>
      <c r="C1599" t="n">
        <v>1</v>
      </c>
      <c r="D1599" t="n">
        <v>0</v>
      </c>
      <c r="E1599" t="s">
        <v>1609</v>
      </c>
      <c r="F1599" t="s"/>
      <c r="G1599" t="s"/>
      <c r="H1599" t="s"/>
      <c r="I1599" t="s"/>
      <c r="J1599" t="n">
        <v>0.7096</v>
      </c>
      <c r="K1599" t="n">
        <v>0</v>
      </c>
      <c r="L1599" t="n">
        <v>0.731</v>
      </c>
      <c r="M1599" t="n">
        <v>0.269</v>
      </c>
    </row>
    <row r="1600" spans="1:13">
      <c r="A1600" s="1">
        <f>HYPERLINK("http://www.twitter.com/NathanBLawrence/status/952242169649168384", "952242169649168384")</f>
        <v/>
      </c>
      <c r="B1600" s="2" t="n">
        <v>43113.75924768519</v>
      </c>
      <c r="C1600" t="n">
        <v>0</v>
      </c>
      <c r="D1600" t="n">
        <v>2778</v>
      </c>
      <c r="E1600" t="s">
        <v>1610</v>
      </c>
      <c r="F1600" t="s"/>
      <c r="G1600" t="s"/>
      <c r="H1600" t="s"/>
      <c r="I1600" t="s"/>
      <c r="J1600" t="n">
        <v>-0.796</v>
      </c>
      <c r="K1600" t="n">
        <v>0.262</v>
      </c>
      <c r="L1600" t="n">
        <v>0.738</v>
      </c>
      <c r="M1600" t="n">
        <v>0</v>
      </c>
    </row>
    <row r="1601" spans="1:13">
      <c r="A1601" s="1">
        <f>HYPERLINK("http://www.twitter.com/NathanBLawrence/status/952238396956708865", "952238396956708865")</f>
        <v/>
      </c>
      <c r="B1601" s="2" t="n">
        <v>43113.74884259259</v>
      </c>
      <c r="C1601" t="n">
        <v>0</v>
      </c>
      <c r="D1601" t="n">
        <v>0</v>
      </c>
      <c r="E1601" t="s">
        <v>1611</v>
      </c>
      <c r="F1601" t="s"/>
      <c r="G1601" t="s"/>
      <c r="H1601" t="s"/>
      <c r="I1601" t="s"/>
      <c r="J1601" t="n">
        <v>0</v>
      </c>
      <c r="K1601" t="n">
        <v>0</v>
      </c>
      <c r="L1601" t="n">
        <v>1</v>
      </c>
      <c r="M1601" t="n">
        <v>0</v>
      </c>
    </row>
    <row r="1602" spans="1:13">
      <c r="A1602" s="1">
        <f>HYPERLINK("http://www.twitter.com/NathanBLawrence/status/951911668757467138", "951911668757467138")</f>
        <v/>
      </c>
      <c r="B1602" s="2" t="n">
        <v>43112.84724537037</v>
      </c>
      <c r="C1602" t="n">
        <v>4</v>
      </c>
      <c r="D1602" t="n">
        <v>1</v>
      </c>
      <c r="E1602" t="s">
        <v>1612</v>
      </c>
      <c r="F1602" t="s"/>
      <c r="G1602" t="s"/>
      <c r="H1602" t="s"/>
      <c r="I1602" t="s"/>
      <c r="J1602" t="n">
        <v>-0.08599999999999999</v>
      </c>
      <c r="K1602" t="n">
        <v>0.224</v>
      </c>
      <c r="L1602" t="n">
        <v>0.5600000000000001</v>
      </c>
      <c r="M1602" t="n">
        <v>0.216</v>
      </c>
    </row>
    <row r="1603" spans="1:13">
      <c r="A1603" s="1">
        <f>HYPERLINK("http://www.twitter.com/NathanBLawrence/status/951886178697039874", "951886178697039874")</f>
        <v/>
      </c>
      <c r="B1603" s="2" t="n">
        <v>43112.77689814815</v>
      </c>
      <c r="C1603" t="n">
        <v>0</v>
      </c>
      <c r="D1603" t="n">
        <v>0</v>
      </c>
      <c r="E1603" t="s">
        <v>1613</v>
      </c>
      <c r="F1603" t="s"/>
      <c r="G1603" t="s"/>
      <c r="H1603" t="s"/>
      <c r="I1603" t="s"/>
      <c r="J1603" t="n">
        <v>-0.2755</v>
      </c>
      <c r="K1603" t="n">
        <v>0.316</v>
      </c>
      <c r="L1603" t="n">
        <v>0.526</v>
      </c>
      <c r="M1603" t="n">
        <v>0.158</v>
      </c>
    </row>
    <row r="1604" spans="1:13">
      <c r="A1604" s="1">
        <f>HYPERLINK("http://www.twitter.com/NathanBLawrence/status/951852605386444801", "951852605386444801")</f>
        <v/>
      </c>
      <c r="B1604" s="2" t="n">
        <v>43112.68425925926</v>
      </c>
      <c r="C1604" t="n">
        <v>0</v>
      </c>
      <c r="D1604" t="n">
        <v>0</v>
      </c>
      <c r="E1604" t="s">
        <v>1614</v>
      </c>
      <c r="F1604" t="s"/>
      <c r="G1604" t="s"/>
      <c r="H1604" t="s"/>
      <c r="I1604" t="s"/>
      <c r="J1604" t="n">
        <v>0.296</v>
      </c>
      <c r="K1604" t="n">
        <v>0</v>
      </c>
      <c r="L1604" t="n">
        <v>0.6860000000000001</v>
      </c>
      <c r="M1604" t="n">
        <v>0.314</v>
      </c>
    </row>
    <row r="1605" spans="1:13">
      <c r="A1605" s="1">
        <f>HYPERLINK("http://www.twitter.com/NathanBLawrence/status/951850889018474496", "951850889018474496")</f>
        <v/>
      </c>
      <c r="B1605" s="2" t="n">
        <v>43112.67952546296</v>
      </c>
      <c r="C1605" t="n">
        <v>0</v>
      </c>
      <c r="D1605" t="n">
        <v>1</v>
      </c>
      <c r="E1605" t="s">
        <v>1615</v>
      </c>
      <c r="F1605" t="s"/>
      <c r="G1605" t="s"/>
      <c r="H1605" t="s"/>
      <c r="I1605" t="s"/>
      <c r="J1605" t="n">
        <v>0.25</v>
      </c>
      <c r="K1605" t="n">
        <v>0</v>
      </c>
      <c r="L1605" t="n">
        <v>0.92</v>
      </c>
      <c r="M1605" t="n">
        <v>0.08</v>
      </c>
    </row>
    <row r="1606" spans="1:13">
      <c r="A1606" s="1">
        <f>HYPERLINK("http://www.twitter.com/NathanBLawrence/status/951834296079265792", "951834296079265792")</f>
        <v/>
      </c>
      <c r="B1606" s="2" t="n">
        <v>43112.63373842592</v>
      </c>
      <c r="C1606" t="n">
        <v>0</v>
      </c>
      <c r="D1606" t="n">
        <v>0</v>
      </c>
      <c r="E1606" t="s">
        <v>1616</v>
      </c>
      <c r="F1606" t="s"/>
      <c r="G1606" t="s"/>
      <c r="H1606" t="s"/>
      <c r="I1606" t="s"/>
      <c r="J1606" t="n">
        <v>0</v>
      </c>
      <c r="K1606" t="n">
        <v>0</v>
      </c>
      <c r="L1606" t="n">
        <v>1</v>
      </c>
      <c r="M1606" t="n">
        <v>0</v>
      </c>
    </row>
    <row r="1607" spans="1:13">
      <c r="A1607" s="1">
        <f>HYPERLINK("http://www.twitter.com/NathanBLawrence/status/951800162892034048", "951800162892034048")</f>
        <v/>
      </c>
      <c r="B1607" s="2" t="n">
        <v>43112.53954861111</v>
      </c>
      <c r="C1607" t="n">
        <v>0</v>
      </c>
      <c r="D1607" t="n">
        <v>0</v>
      </c>
      <c r="E1607" t="s">
        <v>1617</v>
      </c>
      <c r="F1607" t="s"/>
      <c r="G1607" t="s"/>
      <c r="H1607" t="s"/>
      <c r="I1607" t="s"/>
      <c r="J1607" t="n">
        <v>0</v>
      </c>
      <c r="K1607" t="n">
        <v>0</v>
      </c>
      <c r="L1607" t="n">
        <v>1</v>
      </c>
      <c r="M1607" t="n">
        <v>0</v>
      </c>
    </row>
    <row r="1608" spans="1:13">
      <c r="A1608" s="1">
        <f>HYPERLINK("http://www.twitter.com/NathanBLawrence/status/951797933657280512", "951797933657280512")</f>
        <v/>
      </c>
      <c r="B1608" s="2" t="n">
        <v>43112.5333912037</v>
      </c>
      <c r="C1608" t="n">
        <v>0</v>
      </c>
      <c r="D1608" t="n">
        <v>0</v>
      </c>
      <c r="E1608" t="s">
        <v>1618</v>
      </c>
      <c r="F1608" t="s"/>
      <c r="G1608" t="s"/>
      <c r="H1608" t="s"/>
      <c r="I1608" t="s"/>
      <c r="J1608" t="n">
        <v>0</v>
      </c>
      <c r="K1608" t="n">
        <v>0</v>
      </c>
      <c r="L1608" t="n">
        <v>1</v>
      </c>
      <c r="M1608" t="n">
        <v>0</v>
      </c>
    </row>
    <row r="1609" spans="1:13">
      <c r="A1609" s="1">
        <f>HYPERLINK("http://www.twitter.com/NathanBLawrence/status/951669647945949184", "951669647945949184")</f>
        <v/>
      </c>
      <c r="B1609" s="2" t="n">
        <v>43112.17938657408</v>
      </c>
      <c r="C1609" t="n">
        <v>0</v>
      </c>
      <c r="D1609" t="n">
        <v>0</v>
      </c>
      <c r="E1609" t="s">
        <v>1619</v>
      </c>
      <c r="F1609" t="s"/>
      <c r="G1609" t="s"/>
      <c r="H1609" t="s"/>
      <c r="I1609" t="s"/>
      <c r="J1609" t="n">
        <v>0.8068</v>
      </c>
      <c r="K1609" t="n">
        <v>0</v>
      </c>
      <c r="L1609" t="n">
        <v>0.622</v>
      </c>
      <c r="M1609" t="n">
        <v>0.378</v>
      </c>
    </row>
    <row r="1610" spans="1:13">
      <c r="A1610" s="1">
        <f>HYPERLINK("http://www.twitter.com/NathanBLawrence/status/951668082916970497", "951668082916970497")</f>
        <v/>
      </c>
      <c r="B1610" s="2" t="n">
        <v>43112.17506944444</v>
      </c>
      <c r="C1610" t="n">
        <v>0</v>
      </c>
      <c r="D1610" t="n">
        <v>772</v>
      </c>
      <c r="E1610" t="s">
        <v>1620</v>
      </c>
      <c r="F1610" t="s"/>
      <c r="G1610" t="s"/>
      <c r="H1610" t="s"/>
      <c r="I1610" t="s"/>
      <c r="J1610" t="n">
        <v>0.0387</v>
      </c>
      <c r="K1610" t="n">
        <v>0.083</v>
      </c>
      <c r="L1610" t="n">
        <v>0.828</v>
      </c>
      <c r="M1610" t="n">
        <v>0.09</v>
      </c>
    </row>
    <row r="1611" spans="1:13">
      <c r="A1611" s="1">
        <f>HYPERLINK("http://www.twitter.com/NathanBLawrence/status/951555587388661762", "951555587388661762")</f>
        <v/>
      </c>
      <c r="B1611" s="2" t="n">
        <v>43111.86464120371</v>
      </c>
      <c r="C1611" t="n">
        <v>0</v>
      </c>
      <c r="D1611" t="n">
        <v>0</v>
      </c>
      <c r="E1611" t="s">
        <v>1621</v>
      </c>
      <c r="F1611" t="s"/>
      <c r="G1611" t="s"/>
      <c r="H1611" t="s"/>
      <c r="I1611" t="s"/>
      <c r="J1611" t="n">
        <v>-0.128</v>
      </c>
      <c r="K1611" t="n">
        <v>0.083</v>
      </c>
      <c r="L1611" t="n">
        <v>0.854</v>
      </c>
      <c r="M1611" t="n">
        <v>0.063</v>
      </c>
    </row>
    <row r="1612" spans="1:13">
      <c r="A1612" s="1">
        <f>HYPERLINK("http://www.twitter.com/NathanBLawrence/status/951452963867852806", "951452963867852806")</f>
        <v/>
      </c>
      <c r="B1612" s="2" t="n">
        <v>43111.58145833333</v>
      </c>
      <c r="C1612" t="n">
        <v>0</v>
      </c>
      <c r="D1612" t="n">
        <v>0</v>
      </c>
      <c r="E1612" t="s">
        <v>1622</v>
      </c>
      <c r="F1612" t="s"/>
      <c r="G1612" t="s"/>
      <c r="H1612" t="s"/>
      <c r="I1612" t="s"/>
      <c r="J1612" t="n">
        <v>0</v>
      </c>
      <c r="K1612" t="n">
        <v>0</v>
      </c>
      <c r="L1612" t="n">
        <v>1</v>
      </c>
      <c r="M1612" t="n">
        <v>0</v>
      </c>
    </row>
    <row r="1613" spans="1:13">
      <c r="A1613" s="1">
        <f>HYPERLINK("http://www.twitter.com/NathanBLawrence/status/951449046304088064", "951449046304088064")</f>
        <v/>
      </c>
      <c r="B1613" s="2" t="n">
        <v>43111.57064814815</v>
      </c>
      <c r="C1613" t="n">
        <v>1</v>
      </c>
      <c r="D1613" t="n">
        <v>0</v>
      </c>
      <c r="E1613" t="s">
        <v>1623</v>
      </c>
      <c r="F1613" t="s"/>
      <c r="G1613" t="s"/>
      <c r="H1613" t="s"/>
      <c r="I1613" t="s"/>
      <c r="J1613" t="n">
        <v>0.128</v>
      </c>
      <c r="K1613" t="n">
        <v>0</v>
      </c>
      <c r="L1613" t="n">
        <v>0.9409999999999999</v>
      </c>
      <c r="M1613" t="n">
        <v>0.059</v>
      </c>
    </row>
    <row r="1614" spans="1:13">
      <c r="A1614" s="1">
        <f>HYPERLINK("http://www.twitter.com/NathanBLawrence/status/951305521008652289", "951305521008652289")</f>
        <v/>
      </c>
      <c r="B1614" s="2" t="n">
        <v>43111.17459490741</v>
      </c>
      <c r="C1614" t="n">
        <v>0</v>
      </c>
      <c r="D1614" t="n">
        <v>0</v>
      </c>
      <c r="E1614" t="s">
        <v>1624</v>
      </c>
      <c r="F1614" t="s"/>
      <c r="G1614" t="s"/>
      <c r="H1614" t="s"/>
      <c r="I1614" t="s"/>
      <c r="J1614" t="n">
        <v>-0.4184</v>
      </c>
      <c r="K1614" t="n">
        <v>0.258</v>
      </c>
      <c r="L1614" t="n">
        <v>0.742</v>
      </c>
      <c r="M1614" t="n">
        <v>0</v>
      </c>
    </row>
    <row r="1615" spans="1:13">
      <c r="A1615" s="1">
        <f>HYPERLINK("http://www.twitter.com/NathanBLawrence/status/951242468208594944", "951242468208594944")</f>
        <v/>
      </c>
      <c r="B1615" s="2" t="n">
        <v>43111.00060185185</v>
      </c>
      <c r="C1615" t="n">
        <v>0</v>
      </c>
      <c r="D1615" t="n">
        <v>0</v>
      </c>
      <c r="E1615" t="s">
        <v>1625</v>
      </c>
      <c r="F1615" t="s"/>
      <c r="G1615" t="s"/>
      <c r="H1615" t="s"/>
      <c r="I1615" t="s"/>
      <c r="J1615" t="n">
        <v>0</v>
      </c>
      <c r="K1615" t="n">
        <v>0</v>
      </c>
      <c r="L1615" t="n">
        <v>1</v>
      </c>
      <c r="M1615" t="n">
        <v>0</v>
      </c>
    </row>
    <row r="1616" spans="1:13">
      <c r="A1616" s="1">
        <f>HYPERLINK("http://www.twitter.com/NathanBLawrence/status/951241903122669573", "951241903122669573")</f>
        <v/>
      </c>
      <c r="B1616" s="2" t="n">
        <v>43110.99903935185</v>
      </c>
      <c r="C1616" t="n">
        <v>0</v>
      </c>
      <c r="D1616" t="n">
        <v>0</v>
      </c>
      <c r="E1616" t="s">
        <v>1626</v>
      </c>
      <c r="F1616" t="s"/>
      <c r="G1616" t="s"/>
      <c r="H1616" t="s"/>
      <c r="I1616" t="s"/>
      <c r="J1616" t="n">
        <v>0.5423</v>
      </c>
      <c r="K1616" t="n">
        <v>0</v>
      </c>
      <c r="L1616" t="n">
        <v>0.774</v>
      </c>
      <c r="M1616" t="n">
        <v>0.226</v>
      </c>
    </row>
    <row r="1617" spans="1:13">
      <c r="A1617" s="1">
        <f>HYPERLINK("http://www.twitter.com/NathanBLawrence/status/951204264155676672", "951204264155676672")</f>
        <v/>
      </c>
      <c r="B1617" s="2" t="n">
        <v>43110.89517361111</v>
      </c>
      <c r="C1617" t="n">
        <v>0</v>
      </c>
      <c r="D1617" t="n">
        <v>0</v>
      </c>
      <c r="E1617" t="s">
        <v>1627</v>
      </c>
      <c r="F1617" t="s"/>
      <c r="G1617" t="s"/>
      <c r="H1617" t="s"/>
      <c r="I1617" t="s"/>
      <c r="J1617" t="n">
        <v>0</v>
      </c>
      <c r="K1617" t="n">
        <v>0</v>
      </c>
      <c r="L1617" t="n">
        <v>1</v>
      </c>
      <c r="M1617" t="n">
        <v>0</v>
      </c>
    </row>
    <row r="1618" spans="1:13">
      <c r="A1618" s="1">
        <f>HYPERLINK("http://www.twitter.com/NathanBLawrence/status/951187428303409153", "951187428303409153")</f>
        <v/>
      </c>
      <c r="B1618" s="2" t="n">
        <v>43110.84871527777</v>
      </c>
      <c r="C1618" t="n">
        <v>0</v>
      </c>
      <c r="D1618" t="n">
        <v>0</v>
      </c>
      <c r="E1618" t="s">
        <v>1628</v>
      </c>
      <c r="F1618" t="s"/>
      <c r="G1618" t="s"/>
      <c r="H1618" t="s"/>
      <c r="I1618" t="s"/>
      <c r="J1618" t="n">
        <v>-0.1531</v>
      </c>
      <c r="K1618" t="n">
        <v>0.138</v>
      </c>
      <c r="L1618" t="n">
        <v>0.862</v>
      </c>
      <c r="M1618" t="n">
        <v>0</v>
      </c>
    </row>
    <row r="1619" spans="1:13">
      <c r="A1619" s="1">
        <f>HYPERLINK("http://www.twitter.com/NathanBLawrence/status/951148584099090432", "951148584099090432")</f>
        <v/>
      </c>
      <c r="B1619" s="2" t="n">
        <v>43110.74152777778</v>
      </c>
      <c r="C1619" t="n">
        <v>0</v>
      </c>
      <c r="D1619" t="n">
        <v>0</v>
      </c>
      <c r="E1619" t="s">
        <v>1629</v>
      </c>
      <c r="F1619" t="s"/>
      <c r="G1619" t="s"/>
      <c r="H1619" t="s"/>
      <c r="I1619" t="s"/>
      <c r="J1619" t="n">
        <v>-0.4019</v>
      </c>
      <c r="K1619" t="n">
        <v>0.197</v>
      </c>
      <c r="L1619" t="n">
        <v>0.803</v>
      </c>
      <c r="M1619" t="n">
        <v>0</v>
      </c>
    </row>
    <row r="1620" spans="1:13">
      <c r="A1620" s="1">
        <f>HYPERLINK("http://www.twitter.com/NathanBLawrence/status/951144946488238081", "951144946488238081")</f>
        <v/>
      </c>
      <c r="B1620" s="2" t="n">
        <v>43110.73149305556</v>
      </c>
      <c r="C1620" t="n">
        <v>0</v>
      </c>
      <c r="D1620" t="n">
        <v>13263</v>
      </c>
      <c r="E1620" t="s">
        <v>1630</v>
      </c>
      <c r="F1620" t="s"/>
      <c r="G1620" t="s"/>
      <c r="H1620" t="s"/>
      <c r="I1620" t="s"/>
      <c r="J1620" t="n">
        <v>0.4995</v>
      </c>
      <c r="K1620" t="n">
        <v>0</v>
      </c>
      <c r="L1620" t="n">
        <v>0.877</v>
      </c>
      <c r="M1620" t="n">
        <v>0.123</v>
      </c>
    </row>
    <row r="1621" spans="1:13">
      <c r="A1621" s="1">
        <f>HYPERLINK("http://www.twitter.com/NathanBLawrence/status/951144899260362752", "951144899260362752")</f>
        <v/>
      </c>
      <c r="B1621" s="2" t="n">
        <v>43110.73136574074</v>
      </c>
      <c r="C1621" t="n">
        <v>0</v>
      </c>
      <c r="D1621" t="n">
        <v>21923</v>
      </c>
      <c r="E1621" t="s">
        <v>1631</v>
      </c>
      <c r="F1621" t="s"/>
      <c r="G1621" t="s"/>
      <c r="H1621" t="s"/>
      <c r="I1621" t="s"/>
      <c r="J1621" t="n">
        <v>-0.2263</v>
      </c>
      <c r="K1621" t="n">
        <v>0.091</v>
      </c>
      <c r="L1621" t="n">
        <v>0.909</v>
      </c>
      <c r="M1621" t="n">
        <v>0</v>
      </c>
    </row>
    <row r="1622" spans="1:13">
      <c r="A1622" s="1">
        <f>HYPERLINK("http://www.twitter.com/NathanBLawrence/status/951144846496026624", "951144846496026624")</f>
        <v/>
      </c>
      <c r="B1622" s="2" t="n">
        <v>43110.73121527778</v>
      </c>
      <c r="C1622" t="n">
        <v>0</v>
      </c>
      <c r="D1622" t="n">
        <v>27611</v>
      </c>
      <c r="E1622" t="s">
        <v>1632</v>
      </c>
      <c r="F1622" t="s"/>
      <c r="G1622" t="s"/>
      <c r="H1622" t="s"/>
      <c r="I1622" t="s"/>
      <c r="J1622" t="n">
        <v>0.128</v>
      </c>
      <c r="K1622" t="n">
        <v>0.181</v>
      </c>
      <c r="L1622" t="n">
        <v>0.656</v>
      </c>
      <c r="M1622" t="n">
        <v>0.162</v>
      </c>
    </row>
    <row r="1623" spans="1:13">
      <c r="A1623" s="1">
        <f>HYPERLINK("http://www.twitter.com/NathanBLawrence/status/951132391841652736", "951132391841652736")</f>
        <v/>
      </c>
      <c r="B1623" s="2" t="n">
        <v>43110.69685185186</v>
      </c>
      <c r="C1623" t="n">
        <v>0</v>
      </c>
      <c r="D1623" t="n">
        <v>25501</v>
      </c>
      <c r="E1623" t="s">
        <v>1633</v>
      </c>
      <c r="F1623" t="s"/>
      <c r="G1623" t="s"/>
      <c r="H1623" t="s"/>
      <c r="I1623" t="s"/>
      <c r="J1623" t="n">
        <v>-0.7351</v>
      </c>
      <c r="K1623" t="n">
        <v>0.22</v>
      </c>
      <c r="L1623" t="n">
        <v>0.78</v>
      </c>
      <c r="M1623" t="n">
        <v>0</v>
      </c>
    </row>
    <row r="1624" spans="1:13">
      <c r="A1624" s="1">
        <f>HYPERLINK("http://www.twitter.com/NathanBLawrence/status/951102657791451137", "951102657791451137")</f>
        <v/>
      </c>
      <c r="B1624" s="2" t="n">
        <v>43110.61479166667</v>
      </c>
      <c r="C1624" t="n">
        <v>1</v>
      </c>
      <c r="D1624" t="n">
        <v>2</v>
      </c>
      <c r="E1624" t="s">
        <v>1634</v>
      </c>
      <c r="F1624" t="s"/>
      <c r="G1624" t="s"/>
      <c r="H1624" t="s"/>
      <c r="I1624" t="s"/>
      <c r="J1624" t="n">
        <v>0.5994</v>
      </c>
      <c r="K1624" t="n">
        <v>0</v>
      </c>
      <c r="L1624" t="n">
        <v>0.755</v>
      </c>
      <c r="M1624" t="n">
        <v>0.245</v>
      </c>
    </row>
    <row r="1625" spans="1:13">
      <c r="A1625" s="1">
        <f>HYPERLINK("http://www.twitter.com/NathanBLawrence/status/951046771727388674", "951046771727388674")</f>
        <v/>
      </c>
      <c r="B1625" s="2" t="n">
        <v>43110.46057870371</v>
      </c>
      <c r="C1625" t="n">
        <v>0</v>
      </c>
      <c r="D1625" t="n">
        <v>1636</v>
      </c>
      <c r="E1625" t="s">
        <v>1635</v>
      </c>
      <c r="F1625" t="s"/>
      <c r="G1625" t="s"/>
      <c r="H1625" t="s"/>
      <c r="I1625" t="s"/>
      <c r="J1625" t="n">
        <v>0.6988</v>
      </c>
      <c r="K1625" t="n">
        <v>0</v>
      </c>
      <c r="L1625" t="n">
        <v>0.845</v>
      </c>
      <c r="M1625" t="n">
        <v>0.155</v>
      </c>
    </row>
    <row r="1626" spans="1:13">
      <c r="A1626" s="1">
        <f>HYPERLINK("http://www.twitter.com/NathanBLawrence/status/950938399325741056", "950938399325741056")</f>
        <v/>
      </c>
      <c r="B1626" s="2" t="n">
        <v>43110.16152777777</v>
      </c>
      <c r="C1626" t="n">
        <v>2</v>
      </c>
      <c r="D1626" t="n">
        <v>1</v>
      </c>
      <c r="E1626" t="s">
        <v>1636</v>
      </c>
      <c r="F1626" t="s"/>
      <c r="G1626" t="s"/>
      <c r="H1626" t="s"/>
      <c r="I1626" t="s"/>
      <c r="J1626" t="n">
        <v>0</v>
      </c>
      <c r="K1626" t="n">
        <v>0</v>
      </c>
      <c r="L1626" t="n">
        <v>1</v>
      </c>
      <c r="M1626" t="n">
        <v>0</v>
      </c>
    </row>
    <row r="1627" spans="1:13">
      <c r="A1627" s="1">
        <f>HYPERLINK("http://www.twitter.com/NathanBLawrence/status/950931693506060295", "950931693506060295")</f>
        <v/>
      </c>
      <c r="B1627" s="2" t="n">
        <v>43110.14302083333</v>
      </c>
      <c r="C1627" t="n">
        <v>1</v>
      </c>
      <c r="D1627" t="n">
        <v>1</v>
      </c>
      <c r="E1627" t="s">
        <v>1637</v>
      </c>
      <c r="F1627" t="s"/>
      <c r="G1627" t="s"/>
      <c r="H1627" t="s"/>
      <c r="I1627" t="s"/>
      <c r="J1627" t="n">
        <v>0</v>
      </c>
      <c r="K1627" t="n">
        <v>0</v>
      </c>
      <c r="L1627" t="n">
        <v>1</v>
      </c>
      <c r="M1627" t="n">
        <v>0</v>
      </c>
    </row>
    <row r="1628" spans="1:13">
      <c r="A1628" s="1">
        <f>HYPERLINK("http://www.twitter.com/NathanBLawrence/status/950931061260812288", "950931061260812288")</f>
        <v/>
      </c>
      <c r="B1628" s="2" t="n">
        <v>43110.14128472222</v>
      </c>
      <c r="C1628" t="n">
        <v>0</v>
      </c>
      <c r="D1628" t="n">
        <v>23503</v>
      </c>
      <c r="E1628" t="s">
        <v>1638</v>
      </c>
      <c r="F1628" t="s"/>
      <c r="G1628" t="s"/>
      <c r="H1628" t="s"/>
      <c r="I1628" t="s"/>
      <c r="J1628" t="n">
        <v>0.6478</v>
      </c>
      <c r="K1628" t="n">
        <v>0</v>
      </c>
      <c r="L1628" t="n">
        <v>0.8129999999999999</v>
      </c>
      <c r="M1628" t="n">
        <v>0.187</v>
      </c>
    </row>
    <row r="1629" spans="1:13">
      <c r="A1629" s="1">
        <f>HYPERLINK("http://www.twitter.com/NathanBLawrence/status/950868714202763264", "950868714202763264")</f>
        <v/>
      </c>
      <c r="B1629" s="2" t="n">
        <v>43109.96923611111</v>
      </c>
      <c r="C1629" t="n">
        <v>0</v>
      </c>
      <c r="D1629" t="n">
        <v>11345</v>
      </c>
      <c r="E1629" t="s">
        <v>1639</v>
      </c>
      <c r="F1629">
        <f>HYPERLINK("https://video.twimg.com/ext_tw_video/950862308070363136/pu/vid/1280x720/HKXMgSF5DHVS5qad.mp4", "https://video.twimg.com/ext_tw_video/950862308070363136/pu/vid/1280x720/HKXMgSF5DHVS5qad.mp4")</f>
        <v/>
      </c>
      <c r="G1629" t="s"/>
      <c r="H1629" t="s"/>
      <c r="I1629" t="s"/>
      <c r="J1629" t="n">
        <v>0.4404</v>
      </c>
      <c r="K1629" t="n">
        <v>0</v>
      </c>
      <c r="L1629" t="n">
        <v>0.868</v>
      </c>
      <c r="M1629" t="n">
        <v>0.132</v>
      </c>
    </row>
    <row r="1630" spans="1:13">
      <c r="A1630" s="1">
        <f>HYPERLINK("http://www.twitter.com/NathanBLawrence/status/950843482133946368", "950843482133946368")</f>
        <v/>
      </c>
      <c r="B1630" s="2" t="n">
        <v>43109.89960648148</v>
      </c>
      <c r="C1630" t="n">
        <v>0</v>
      </c>
      <c r="D1630" t="n">
        <v>0</v>
      </c>
      <c r="E1630" t="s">
        <v>1640</v>
      </c>
      <c r="F1630" t="s"/>
      <c r="G1630" t="s"/>
      <c r="H1630" t="s"/>
      <c r="I1630" t="s"/>
      <c r="J1630" t="n">
        <v>-0.1779</v>
      </c>
      <c r="K1630" t="n">
        <v>0.06900000000000001</v>
      </c>
      <c r="L1630" t="n">
        <v>0.931</v>
      </c>
      <c r="M1630" t="n">
        <v>0</v>
      </c>
    </row>
    <row r="1631" spans="1:13">
      <c r="A1631" s="1">
        <f>HYPERLINK("http://www.twitter.com/NathanBLawrence/status/950728910194532352", "950728910194532352")</f>
        <v/>
      </c>
      <c r="B1631" s="2" t="n">
        <v>43109.58344907407</v>
      </c>
      <c r="C1631" t="n">
        <v>0</v>
      </c>
      <c r="D1631" t="n">
        <v>5281</v>
      </c>
      <c r="E1631" t="s">
        <v>1641</v>
      </c>
      <c r="F1631" t="s"/>
      <c r="G1631" t="s"/>
      <c r="H1631" t="s"/>
      <c r="I1631" t="s"/>
      <c r="J1631" t="n">
        <v>-0.368</v>
      </c>
      <c r="K1631" t="n">
        <v>0.212</v>
      </c>
      <c r="L1631" t="n">
        <v>0.676</v>
      </c>
      <c r="M1631" t="n">
        <v>0.111</v>
      </c>
    </row>
    <row r="1632" spans="1:13">
      <c r="A1632" s="1">
        <f>HYPERLINK("http://www.twitter.com/NathanBLawrence/status/950582294963720192", "950582294963720192")</f>
        <v/>
      </c>
      <c r="B1632" s="2" t="n">
        <v>43109.17886574074</v>
      </c>
      <c r="C1632" t="n">
        <v>0</v>
      </c>
      <c r="D1632" t="n">
        <v>0</v>
      </c>
      <c r="E1632" t="s">
        <v>1642</v>
      </c>
      <c r="F1632" t="s"/>
      <c r="G1632" t="s"/>
      <c r="H1632" t="s"/>
      <c r="I1632" t="s"/>
      <c r="J1632" t="n">
        <v>0</v>
      </c>
      <c r="K1632" t="n">
        <v>0</v>
      </c>
      <c r="L1632" t="n">
        <v>1</v>
      </c>
      <c r="M1632" t="n">
        <v>0</v>
      </c>
    </row>
    <row r="1633" spans="1:13">
      <c r="A1633" s="1">
        <f>HYPERLINK("http://www.twitter.com/NathanBLawrence/status/950581595538444288", "950581595538444288")</f>
        <v/>
      </c>
      <c r="B1633" s="2" t="n">
        <v>43109.17693287037</v>
      </c>
      <c r="C1633" t="n">
        <v>0</v>
      </c>
      <c r="D1633" t="n">
        <v>0</v>
      </c>
      <c r="E1633" t="s">
        <v>1643</v>
      </c>
      <c r="F1633" t="s"/>
      <c r="G1633" t="s"/>
      <c r="H1633" t="s"/>
      <c r="I1633" t="s"/>
      <c r="J1633" t="n">
        <v>0.5673</v>
      </c>
      <c r="K1633" t="n">
        <v>0</v>
      </c>
      <c r="L1633" t="n">
        <v>0.831</v>
      </c>
      <c r="M1633" t="n">
        <v>0.169</v>
      </c>
    </row>
    <row r="1634" spans="1:13">
      <c r="A1634" s="1">
        <f>HYPERLINK("http://www.twitter.com/NathanBLawrence/status/950562024748134401", "950562024748134401")</f>
        <v/>
      </c>
      <c r="B1634" s="2" t="n">
        <v>43109.12292824074</v>
      </c>
      <c r="C1634" t="n">
        <v>0</v>
      </c>
      <c r="D1634" t="n">
        <v>2</v>
      </c>
      <c r="E1634" t="s">
        <v>1644</v>
      </c>
      <c r="F1634" t="s"/>
      <c r="G1634" t="s"/>
      <c r="H1634" t="s"/>
      <c r="I1634" t="s"/>
      <c r="J1634" t="n">
        <v>0</v>
      </c>
      <c r="K1634" t="n">
        <v>0</v>
      </c>
      <c r="L1634" t="n">
        <v>1</v>
      </c>
      <c r="M1634" t="n">
        <v>0</v>
      </c>
    </row>
    <row r="1635" spans="1:13">
      <c r="A1635" s="1">
        <f>HYPERLINK("http://www.twitter.com/NathanBLawrence/status/950561964710924288", "950561964710924288")</f>
        <v/>
      </c>
      <c r="B1635" s="2" t="n">
        <v>43109.12276620371</v>
      </c>
      <c r="C1635" t="n">
        <v>1</v>
      </c>
      <c r="D1635" t="n">
        <v>0</v>
      </c>
      <c r="E1635" t="s">
        <v>1645</v>
      </c>
      <c r="F1635" t="s"/>
      <c r="G1635" t="s"/>
      <c r="H1635" t="s"/>
      <c r="I1635" t="s"/>
      <c r="J1635" t="n">
        <v>0.4404</v>
      </c>
      <c r="K1635" t="n">
        <v>0</v>
      </c>
      <c r="L1635" t="n">
        <v>0.828</v>
      </c>
      <c r="M1635" t="n">
        <v>0.172</v>
      </c>
    </row>
    <row r="1636" spans="1:13">
      <c r="A1636" s="1">
        <f>HYPERLINK("http://www.twitter.com/NathanBLawrence/status/950559657663369218", "950559657663369218")</f>
        <v/>
      </c>
      <c r="B1636" s="2" t="n">
        <v>43109.11640046296</v>
      </c>
      <c r="C1636" t="n">
        <v>1</v>
      </c>
      <c r="D1636" t="n">
        <v>0</v>
      </c>
      <c r="E1636" t="s">
        <v>1646</v>
      </c>
      <c r="F1636" t="s"/>
      <c r="G1636" t="s"/>
      <c r="H1636" t="s"/>
      <c r="I1636" t="s"/>
      <c r="J1636" t="n">
        <v>0.4019</v>
      </c>
      <c r="K1636" t="n">
        <v>0</v>
      </c>
      <c r="L1636" t="n">
        <v>0.787</v>
      </c>
      <c r="M1636" t="n">
        <v>0.213</v>
      </c>
    </row>
    <row r="1637" spans="1:13">
      <c r="A1637" s="1">
        <f>HYPERLINK("http://www.twitter.com/NathanBLawrence/status/950559357254668289", "950559357254668289")</f>
        <v/>
      </c>
      <c r="B1637" s="2" t="n">
        <v>43109.11556712963</v>
      </c>
      <c r="C1637" t="n">
        <v>0</v>
      </c>
      <c r="D1637" t="n">
        <v>0</v>
      </c>
      <c r="E1637" t="s">
        <v>1647</v>
      </c>
      <c r="F1637" t="s"/>
      <c r="G1637" t="s"/>
      <c r="H1637" t="s"/>
      <c r="I1637" t="s"/>
      <c r="J1637" t="n">
        <v>0.1002</v>
      </c>
      <c r="K1637" t="n">
        <v>0.079</v>
      </c>
      <c r="L1637" t="n">
        <v>0.827</v>
      </c>
      <c r="M1637" t="n">
        <v>0.094</v>
      </c>
    </row>
    <row r="1638" spans="1:13">
      <c r="A1638" s="1">
        <f>HYPERLINK("http://www.twitter.com/NathanBLawrence/status/950558615093510149", "950558615093510149")</f>
        <v/>
      </c>
      <c r="B1638" s="2" t="n">
        <v>43109.1135300926</v>
      </c>
      <c r="C1638" t="n">
        <v>0</v>
      </c>
      <c r="D1638" t="n">
        <v>1</v>
      </c>
      <c r="E1638" t="s">
        <v>1648</v>
      </c>
      <c r="F1638" t="s"/>
      <c r="G1638" t="s"/>
      <c r="H1638" t="s"/>
      <c r="I1638" t="s"/>
      <c r="J1638" t="n">
        <v>0</v>
      </c>
      <c r="K1638" t="n">
        <v>0</v>
      </c>
      <c r="L1638" t="n">
        <v>1</v>
      </c>
      <c r="M1638" t="n">
        <v>0</v>
      </c>
    </row>
    <row r="1639" spans="1:13">
      <c r="A1639" s="1">
        <f>HYPERLINK("http://www.twitter.com/NathanBLawrence/status/950550840741433347", "950550840741433347")</f>
        <v/>
      </c>
      <c r="B1639" s="2" t="n">
        <v>43109.09207175926</v>
      </c>
      <c r="C1639" t="n">
        <v>0</v>
      </c>
      <c r="D1639" t="n">
        <v>1028</v>
      </c>
      <c r="E1639" t="s">
        <v>1649</v>
      </c>
      <c r="F1639" t="s"/>
      <c r="G1639" t="s"/>
      <c r="H1639" t="s"/>
      <c r="I1639" t="s"/>
      <c r="J1639" t="n">
        <v>0</v>
      </c>
      <c r="K1639" t="n">
        <v>0</v>
      </c>
      <c r="L1639" t="n">
        <v>1</v>
      </c>
      <c r="M1639" t="n">
        <v>0</v>
      </c>
    </row>
    <row r="1640" spans="1:13">
      <c r="A1640" s="1">
        <f>HYPERLINK("http://www.twitter.com/NathanBLawrence/status/950550251735339008", "950550251735339008")</f>
        <v/>
      </c>
      <c r="B1640" s="2" t="n">
        <v>43109.09045138889</v>
      </c>
      <c r="C1640" t="n">
        <v>0</v>
      </c>
      <c r="D1640" t="n">
        <v>6820</v>
      </c>
      <c r="E1640" t="s">
        <v>1650</v>
      </c>
      <c r="F1640" t="s"/>
      <c r="G1640" t="s"/>
      <c r="H1640" t="s"/>
      <c r="I1640" t="s"/>
      <c r="J1640" t="n">
        <v>0.0258</v>
      </c>
      <c r="K1640" t="n">
        <v>0.101</v>
      </c>
      <c r="L1640" t="n">
        <v>0.793</v>
      </c>
      <c r="M1640" t="n">
        <v>0.106</v>
      </c>
    </row>
    <row r="1641" spans="1:13">
      <c r="A1641" s="1">
        <f>HYPERLINK("http://www.twitter.com/NathanBLawrence/status/950531518514040833", "950531518514040833")</f>
        <v/>
      </c>
      <c r="B1641" s="2" t="n">
        <v>43109.03875</v>
      </c>
      <c r="C1641" t="n">
        <v>0</v>
      </c>
      <c r="D1641" t="n">
        <v>0</v>
      </c>
      <c r="E1641" t="s">
        <v>1651</v>
      </c>
      <c r="F1641" t="s"/>
      <c r="G1641" t="s"/>
      <c r="H1641" t="s"/>
      <c r="I1641" t="s"/>
      <c r="J1641" t="n">
        <v>0.5647</v>
      </c>
      <c r="K1641" t="n">
        <v>0</v>
      </c>
      <c r="L1641" t="n">
        <v>0.878</v>
      </c>
      <c r="M1641" t="n">
        <v>0.122</v>
      </c>
    </row>
    <row r="1642" spans="1:13">
      <c r="A1642" s="1">
        <f>HYPERLINK("http://www.twitter.com/NathanBLawrence/status/950519813763403776", "950519813763403776")</f>
        <v/>
      </c>
      <c r="B1642" s="2" t="n">
        <v>43109.00645833334</v>
      </c>
      <c r="C1642" t="n">
        <v>0</v>
      </c>
      <c r="D1642" t="n">
        <v>7594</v>
      </c>
      <c r="E1642" t="s">
        <v>1652</v>
      </c>
      <c r="F1642" t="s"/>
      <c r="G1642" t="s"/>
      <c r="H1642" t="s"/>
      <c r="I1642" t="s"/>
      <c r="J1642" t="n">
        <v>0.3182</v>
      </c>
      <c r="K1642" t="n">
        <v>0</v>
      </c>
      <c r="L1642" t="n">
        <v>0.881</v>
      </c>
      <c r="M1642" t="n">
        <v>0.119</v>
      </c>
    </row>
    <row r="1643" spans="1:13">
      <c r="A1643" s="1">
        <f>HYPERLINK("http://www.twitter.com/NathanBLawrence/status/950449525763854336", "950449525763854336")</f>
        <v/>
      </c>
      <c r="B1643" s="2" t="n">
        <v>43108.8125</v>
      </c>
      <c r="C1643" t="n">
        <v>0</v>
      </c>
      <c r="D1643" t="n">
        <v>357</v>
      </c>
      <c r="E1643" t="s">
        <v>1653</v>
      </c>
      <c r="F1643" t="s"/>
      <c r="G1643" t="s"/>
      <c r="H1643" t="s"/>
      <c r="I1643" t="s"/>
      <c r="J1643" t="n">
        <v>0.5859</v>
      </c>
      <c r="K1643" t="n">
        <v>0</v>
      </c>
      <c r="L1643" t="n">
        <v>0.648</v>
      </c>
      <c r="M1643" t="n">
        <v>0.352</v>
      </c>
    </row>
    <row r="1644" spans="1:13">
      <c r="A1644" s="1">
        <f>HYPERLINK("http://www.twitter.com/NathanBLawrence/status/950420771549130754", "950420771549130754")</f>
        <v/>
      </c>
      <c r="B1644" s="2" t="n">
        <v>43108.73314814815</v>
      </c>
      <c r="C1644" t="n">
        <v>0</v>
      </c>
      <c r="D1644" t="n">
        <v>0</v>
      </c>
      <c r="E1644" t="s">
        <v>1654</v>
      </c>
      <c r="F1644" t="s"/>
      <c r="G1644" t="s"/>
      <c r="H1644" t="s"/>
      <c r="I1644" t="s"/>
      <c r="J1644" t="n">
        <v>0.6249</v>
      </c>
      <c r="K1644" t="n">
        <v>0</v>
      </c>
      <c r="L1644" t="n">
        <v>0.843</v>
      </c>
      <c r="M1644" t="n">
        <v>0.157</v>
      </c>
    </row>
    <row r="1645" spans="1:13">
      <c r="A1645" s="1">
        <f>HYPERLINK("http://www.twitter.com/NathanBLawrence/status/950401888687742977", "950401888687742977")</f>
        <v/>
      </c>
      <c r="B1645" s="2" t="n">
        <v>43108.68104166666</v>
      </c>
      <c r="C1645" t="n">
        <v>0</v>
      </c>
      <c r="D1645" t="n">
        <v>871</v>
      </c>
      <c r="E1645" t="s">
        <v>1655</v>
      </c>
      <c r="F1645" t="s"/>
      <c r="G1645" t="s"/>
      <c r="H1645" t="s"/>
      <c r="I1645" t="s"/>
      <c r="J1645" t="n">
        <v>0</v>
      </c>
      <c r="K1645" t="n">
        <v>0</v>
      </c>
      <c r="L1645" t="n">
        <v>1</v>
      </c>
      <c r="M1645" t="n">
        <v>0</v>
      </c>
    </row>
    <row r="1646" spans="1:13">
      <c r="A1646" s="1">
        <f>HYPERLINK("http://www.twitter.com/NathanBLawrence/status/950400362669920257", "950400362669920257")</f>
        <v/>
      </c>
      <c r="B1646" s="2" t="n">
        <v>43108.6768287037</v>
      </c>
      <c r="C1646" t="n">
        <v>4</v>
      </c>
      <c r="D1646" t="n">
        <v>2</v>
      </c>
      <c r="E1646" t="s">
        <v>1656</v>
      </c>
      <c r="F1646" t="s"/>
      <c r="G1646" t="s"/>
      <c r="H1646" t="s"/>
      <c r="I1646" t="s"/>
      <c r="J1646" t="n">
        <v>0</v>
      </c>
      <c r="K1646" t="n">
        <v>0</v>
      </c>
      <c r="L1646" t="n">
        <v>1</v>
      </c>
      <c r="M1646" t="n">
        <v>0</v>
      </c>
    </row>
    <row r="1647" spans="1:13">
      <c r="A1647" s="1">
        <f>HYPERLINK("http://www.twitter.com/NathanBLawrence/status/950375696198782977", "950375696198782977")</f>
        <v/>
      </c>
      <c r="B1647" s="2" t="n">
        <v>43108.60876157408</v>
      </c>
      <c r="C1647" t="n">
        <v>1</v>
      </c>
      <c r="D1647" t="n">
        <v>0</v>
      </c>
      <c r="E1647" t="s">
        <v>1657</v>
      </c>
      <c r="F1647" t="s"/>
      <c r="G1647" t="s"/>
      <c r="H1647" t="s"/>
      <c r="I1647" t="s"/>
      <c r="J1647" t="n">
        <v>0</v>
      </c>
      <c r="K1647" t="n">
        <v>0</v>
      </c>
      <c r="L1647" t="n">
        <v>1</v>
      </c>
      <c r="M1647" t="n">
        <v>0</v>
      </c>
    </row>
    <row r="1648" spans="1:13">
      <c r="A1648" s="1">
        <f>HYPERLINK("http://www.twitter.com/NathanBLawrence/status/950215030469025792", "950215030469025792")</f>
        <v/>
      </c>
      <c r="B1648" s="2" t="n">
        <v>43108.16541666666</v>
      </c>
      <c r="C1648" t="n">
        <v>0</v>
      </c>
      <c r="D1648" t="n">
        <v>5752</v>
      </c>
      <c r="E1648" t="s">
        <v>1658</v>
      </c>
      <c r="F1648">
        <f>HYPERLINK("http://pbs.twimg.com/media/DS0dTHmVoAAXyzU.jpg", "http://pbs.twimg.com/media/DS0dTHmVoAAXyzU.jpg")</f>
        <v/>
      </c>
      <c r="G1648" t="s"/>
      <c r="H1648" t="s"/>
      <c r="I1648" t="s"/>
      <c r="J1648" t="n">
        <v>0</v>
      </c>
      <c r="K1648" t="n">
        <v>0</v>
      </c>
      <c r="L1648" t="n">
        <v>1</v>
      </c>
      <c r="M1648" t="n">
        <v>0</v>
      </c>
    </row>
    <row r="1649" spans="1:13">
      <c r="A1649" s="1">
        <f>HYPERLINK("http://www.twitter.com/NathanBLawrence/status/950117661458993155", "950117661458993155")</f>
        <v/>
      </c>
      <c r="B1649" s="2" t="n">
        <v>43107.89672453704</v>
      </c>
      <c r="C1649" t="n">
        <v>0</v>
      </c>
      <c r="D1649" t="n">
        <v>3603</v>
      </c>
      <c r="E1649" t="s">
        <v>1659</v>
      </c>
      <c r="F1649">
        <f>HYPERLINK("http://pbs.twimg.com/media/DNj1BfOWkAESbH2.jpg", "http://pbs.twimg.com/media/DNj1BfOWkAESbH2.jpg")</f>
        <v/>
      </c>
      <c r="G1649" t="s"/>
      <c r="H1649" t="s"/>
      <c r="I1649" t="s"/>
      <c r="J1649" t="n">
        <v>0.5229</v>
      </c>
      <c r="K1649" t="n">
        <v>0</v>
      </c>
      <c r="L1649" t="n">
        <v>0.842</v>
      </c>
      <c r="M1649" t="n">
        <v>0.158</v>
      </c>
    </row>
    <row r="1650" spans="1:13">
      <c r="A1650" s="1">
        <f>HYPERLINK("http://www.twitter.com/NathanBLawrence/status/949833709452218368", "949833709452218368")</f>
        <v/>
      </c>
      <c r="B1650" s="2" t="n">
        <v>43107.1131712963</v>
      </c>
      <c r="C1650" t="n">
        <v>0</v>
      </c>
      <c r="D1650" t="n">
        <v>0</v>
      </c>
      <c r="E1650" t="s">
        <v>1660</v>
      </c>
      <c r="F1650" t="s"/>
      <c r="G1650" t="s"/>
      <c r="H1650" t="s"/>
      <c r="I1650" t="s"/>
      <c r="J1650" t="n">
        <v>0</v>
      </c>
      <c r="K1650" t="n">
        <v>0</v>
      </c>
      <c r="L1650" t="n">
        <v>1</v>
      </c>
      <c r="M1650" t="n">
        <v>0</v>
      </c>
    </row>
    <row r="1651" spans="1:13">
      <c r="A1651" s="1">
        <f>HYPERLINK("http://www.twitter.com/NathanBLawrence/status/949791056471707648", "949791056471707648")</f>
        <v/>
      </c>
      <c r="B1651" s="2" t="n">
        <v>43106.99546296296</v>
      </c>
      <c r="C1651" t="n">
        <v>8</v>
      </c>
      <c r="D1651" t="n">
        <v>2</v>
      </c>
      <c r="E1651" t="s">
        <v>1661</v>
      </c>
      <c r="F1651" t="s"/>
      <c r="G1651" t="s"/>
      <c r="H1651" t="s"/>
      <c r="I1651" t="s"/>
      <c r="J1651" t="n">
        <v>-0.5106000000000001</v>
      </c>
      <c r="K1651" t="n">
        <v>0.155</v>
      </c>
      <c r="L1651" t="n">
        <v>0.845</v>
      </c>
      <c r="M1651" t="n">
        <v>0</v>
      </c>
    </row>
    <row r="1652" spans="1:13">
      <c r="A1652" s="1">
        <f>HYPERLINK("http://www.twitter.com/NathanBLawrence/status/949727233614196737", "949727233614196737")</f>
        <v/>
      </c>
      <c r="B1652" s="2" t="n">
        <v>43106.81935185185</v>
      </c>
      <c r="C1652" t="n">
        <v>0</v>
      </c>
      <c r="D1652" t="n">
        <v>2406</v>
      </c>
      <c r="E1652" t="s">
        <v>1662</v>
      </c>
      <c r="F1652" t="s"/>
      <c r="G1652" t="s"/>
      <c r="H1652" t="s"/>
      <c r="I1652" t="s"/>
      <c r="J1652" t="n">
        <v>0.7574</v>
      </c>
      <c r="K1652" t="n">
        <v>0</v>
      </c>
      <c r="L1652" t="n">
        <v>0.667</v>
      </c>
      <c r="M1652" t="n">
        <v>0.333</v>
      </c>
    </row>
    <row r="1653" spans="1:13">
      <c r="A1653" s="1">
        <f>HYPERLINK("http://www.twitter.com/NathanBLawrence/status/949700875278344198", "949700875278344198")</f>
        <v/>
      </c>
      <c r="B1653" s="2" t="n">
        <v>43106.7466087963</v>
      </c>
      <c r="C1653" t="n">
        <v>2</v>
      </c>
      <c r="D1653" t="n">
        <v>2</v>
      </c>
      <c r="E1653" t="s">
        <v>1663</v>
      </c>
      <c r="F1653" t="s"/>
      <c r="G1653" t="s"/>
      <c r="H1653" t="s"/>
      <c r="I1653" t="s"/>
      <c r="J1653" t="n">
        <v>0.5719</v>
      </c>
      <c r="K1653" t="n">
        <v>0</v>
      </c>
      <c r="L1653" t="n">
        <v>0.654</v>
      </c>
      <c r="M1653" t="n">
        <v>0.346</v>
      </c>
    </row>
    <row r="1654" spans="1:13">
      <c r="A1654" s="1">
        <f>HYPERLINK("http://www.twitter.com/NathanBLawrence/status/949680697077391360", "949680697077391360")</f>
        <v/>
      </c>
      <c r="B1654" s="2" t="n">
        <v>43106.6909375</v>
      </c>
      <c r="C1654" t="n">
        <v>0</v>
      </c>
      <c r="D1654" t="n">
        <v>35069</v>
      </c>
      <c r="E1654" t="s">
        <v>1664</v>
      </c>
      <c r="F1654" t="s"/>
      <c r="G1654" t="s"/>
      <c r="H1654" t="s"/>
      <c r="I1654" t="s"/>
      <c r="J1654" t="n">
        <v>0.8858</v>
      </c>
      <c r="K1654" t="n">
        <v>0</v>
      </c>
      <c r="L1654" t="n">
        <v>0.584</v>
      </c>
      <c r="M1654" t="n">
        <v>0.416</v>
      </c>
    </row>
    <row r="1655" spans="1:13">
      <c r="A1655" s="1">
        <f>HYPERLINK("http://www.twitter.com/NathanBLawrence/status/949680682539905030", "949680682539905030")</f>
        <v/>
      </c>
      <c r="B1655" s="2" t="n">
        <v>43106.6908912037</v>
      </c>
      <c r="C1655" t="n">
        <v>0</v>
      </c>
      <c r="D1655" t="n">
        <v>33857</v>
      </c>
      <c r="E1655" t="s">
        <v>1665</v>
      </c>
      <c r="F1655" t="s"/>
      <c r="G1655" t="s"/>
      <c r="H1655" t="s"/>
      <c r="I1655" t="s"/>
      <c r="J1655" t="n">
        <v>-0.2023</v>
      </c>
      <c r="K1655" t="n">
        <v>0.08599999999999999</v>
      </c>
      <c r="L1655" t="n">
        <v>0.861</v>
      </c>
      <c r="M1655" t="n">
        <v>0.053</v>
      </c>
    </row>
    <row r="1656" spans="1:13">
      <c r="A1656" s="1">
        <f>HYPERLINK("http://www.twitter.com/NathanBLawrence/status/949671450763563008", "949671450763563008")</f>
        <v/>
      </c>
      <c r="B1656" s="2" t="n">
        <v>43106.66541666666</v>
      </c>
      <c r="C1656" t="n">
        <v>0</v>
      </c>
      <c r="D1656" t="n">
        <v>0</v>
      </c>
      <c r="E1656" t="s">
        <v>1666</v>
      </c>
      <c r="F1656" t="s"/>
      <c r="G1656" t="s"/>
      <c r="H1656" t="s"/>
      <c r="I1656" t="s"/>
      <c r="J1656" t="n">
        <v>-0.6909</v>
      </c>
      <c r="K1656" t="n">
        <v>0.201</v>
      </c>
      <c r="L1656" t="n">
        <v>0.707</v>
      </c>
      <c r="M1656" t="n">
        <v>0.092</v>
      </c>
    </row>
    <row r="1657" spans="1:13">
      <c r="A1657" s="1">
        <f>HYPERLINK("http://www.twitter.com/NathanBLawrence/status/949401617123762186", "949401617123762186")</f>
        <v/>
      </c>
      <c r="B1657" s="2" t="n">
        <v>43105.92082175926</v>
      </c>
      <c r="C1657" t="n">
        <v>1</v>
      </c>
      <c r="D1657" t="n">
        <v>0</v>
      </c>
      <c r="E1657" t="s">
        <v>1667</v>
      </c>
      <c r="F1657" t="s"/>
      <c r="G1657" t="s"/>
      <c r="H1657" t="s"/>
      <c r="I1657" t="s"/>
      <c r="J1657" t="n">
        <v>0.8732</v>
      </c>
      <c r="K1657" t="n">
        <v>0</v>
      </c>
      <c r="L1657" t="n">
        <v>0.784</v>
      </c>
      <c r="M1657" t="n">
        <v>0.216</v>
      </c>
    </row>
    <row r="1658" spans="1:13">
      <c r="A1658" s="1">
        <f>HYPERLINK("http://www.twitter.com/NathanBLawrence/status/949388034469974016", "949388034469974016")</f>
        <v/>
      </c>
      <c r="B1658" s="2" t="n">
        <v>43105.88333333333</v>
      </c>
      <c r="C1658" t="n">
        <v>0</v>
      </c>
      <c r="D1658" t="n">
        <v>0</v>
      </c>
      <c r="E1658" t="s">
        <v>1668</v>
      </c>
      <c r="F1658" t="s"/>
      <c r="G1658" t="s"/>
      <c r="H1658" t="s"/>
      <c r="I1658" t="s"/>
      <c r="J1658" t="n">
        <v>0</v>
      </c>
      <c r="K1658" t="n">
        <v>0</v>
      </c>
      <c r="L1658" t="n">
        <v>1</v>
      </c>
      <c r="M1658" t="n">
        <v>0</v>
      </c>
    </row>
    <row r="1659" spans="1:13">
      <c r="A1659" s="1">
        <f>HYPERLINK("http://www.twitter.com/NathanBLawrence/status/949336956550434817", "949336956550434817")</f>
        <v/>
      </c>
      <c r="B1659" s="2" t="n">
        <v>43105.74238425926</v>
      </c>
      <c r="C1659" t="n">
        <v>0</v>
      </c>
      <c r="D1659" t="n">
        <v>0</v>
      </c>
      <c r="E1659" t="s">
        <v>1669</v>
      </c>
      <c r="F1659" t="s"/>
      <c r="G1659" t="s"/>
      <c r="H1659" t="s"/>
      <c r="I1659" t="s"/>
      <c r="J1659" t="n">
        <v>-0.6973</v>
      </c>
      <c r="K1659" t="n">
        <v>0.49</v>
      </c>
      <c r="L1659" t="n">
        <v>0.51</v>
      </c>
      <c r="M1659" t="n">
        <v>0</v>
      </c>
    </row>
    <row r="1660" spans="1:13">
      <c r="A1660" s="1">
        <f>HYPERLINK("http://www.twitter.com/NathanBLawrence/status/949027672432275462", "949027672432275462")</f>
        <v/>
      </c>
      <c r="B1660" s="2" t="n">
        <v>43104.88892361111</v>
      </c>
      <c r="C1660" t="n">
        <v>0</v>
      </c>
      <c r="D1660" t="n">
        <v>0</v>
      </c>
      <c r="E1660" t="s">
        <v>1670</v>
      </c>
      <c r="F1660" t="s"/>
      <c r="G1660" t="s"/>
      <c r="H1660" t="s"/>
      <c r="I1660" t="s"/>
      <c r="J1660" t="n">
        <v>-0.0258</v>
      </c>
      <c r="K1660" t="n">
        <v>0.136</v>
      </c>
      <c r="L1660" t="n">
        <v>0.734</v>
      </c>
      <c r="M1660" t="n">
        <v>0.13</v>
      </c>
    </row>
    <row r="1661" spans="1:13">
      <c r="A1661" s="1">
        <f>HYPERLINK("http://www.twitter.com/NathanBLawrence/status/948974322202398720", "948974322202398720")</f>
        <v/>
      </c>
      <c r="B1661" s="2" t="n">
        <v>43104.74171296296</v>
      </c>
      <c r="C1661" t="n">
        <v>1</v>
      </c>
      <c r="D1661" t="n">
        <v>0</v>
      </c>
      <c r="E1661" t="s">
        <v>1671</v>
      </c>
      <c r="F1661" t="s"/>
      <c r="G1661" t="s"/>
      <c r="H1661" t="s"/>
      <c r="I1661" t="s"/>
      <c r="J1661" t="n">
        <v>0.2732</v>
      </c>
      <c r="K1661" t="n">
        <v>0</v>
      </c>
      <c r="L1661" t="n">
        <v>0.913</v>
      </c>
      <c r="M1661" t="n">
        <v>0.08699999999999999</v>
      </c>
    </row>
    <row r="1662" spans="1:13">
      <c r="A1662" s="1">
        <f>HYPERLINK("http://www.twitter.com/NathanBLawrence/status/948971231210098689", "948971231210098689")</f>
        <v/>
      </c>
      <c r="B1662" s="2" t="n">
        <v>43104.73318287037</v>
      </c>
      <c r="C1662" t="n">
        <v>0</v>
      </c>
      <c r="D1662" t="n">
        <v>0</v>
      </c>
      <c r="E1662" t="s">
        <v>1672</v>
      </c>
      <c r="F1662" t="s"/>
      <c r="G1662" t="s"/>
      <c r="H1662" t="s"/>
      <c r="I1662" t="s"/>
      <c r="J1662" t="n">
        <v>-0.347</v>
      </c>
      <c r="K1662" t="n">
        <v>0.166</v>
      </c>
      <c r="L1662" t="n">
        <v>0.703</v>
      </c>
      <c r="M1662" t="n">
        <v>0.131</v>
      </c>
    </row>
    <row r="1663" spans="1:13">
      <c r="A1663" s="1">
        <f>HYPERLINK("http://www.twitter.com/NathanBLawrence/status/948960601346379777", "948960601346379777")</f>
        <v/>
      </c>
      <c r="B1663" s="2" t="n">
        <v>43104.70384259259</v>
      </c>
      <c r="C1663" t="n">
        <v>0</v>
      </c>
      <c r="D1663" t="n">
        <v>0</v>
      </c>
      <c r="E1663" t="s">
        <v>1673</v>
      </c>
      <c r="F1663" t="s"/>
      <c r="G1663" t="s"/>
      <c r="H1663" t="s"/>
      <c r="I1663" t="s"/>
      <c r="J1663" t="n">
        <v>-0.1779</v>
      </c>
      <c r="K1663" t="n">
        <v>0.146</v>
      </c>
      <c r="L1663" t="n">
        <v>0.722</v>
      </c>
      <c r="M1663" t="n">
        <v>0.132</v>
      </c>
    </row>
    <row r="1664" spans="1:13">
      <c r="A1664" s="1">
        <f>HYPERLINK("http://www.twitter.com/NathanBLawrence/status/948959755321692160", "948959755321692160")</f>
        <v/>
      </c>
      <c r="B1664" s="2" t="n">
        <v>43104.70151620371</v>
      </c>
      <c r="C1664" t="n">
        <v>0</v>
      </c>
      <c r="D1664" t="n">
        <v>0</v>
      </c>
      <c r="E1664" t="s">
        <v>1674</v>
      </c>
      <c r="F1664" t="s"/>
      <c r="G1664" t="s"/>
      <c r="H1664" t="s"/>
      <c r="I1664" t="s"/>
      <c r="J1664" t="n">
        <v>0</v>
      </c>
      <c r="K1664" t="n">
        <v>0</v>
      </c>
      <c r="L1664" t="n">
        <v>1</v>
      </c>
      <c r="M1664" t="n">
        <v>0</v>
      </c>
    </row>
    <row r="1665" spans="1:13">
      <c r="A1665" s="1">
        <f>HYPERLINK("http://www.twitter.com/NathanBLawrence/status/948956135528321024", "948956135528321024")</f>
        <v/>
      </c>
      <c r="B1665" s="2" t="n">
        <v>43104.69152777778</v>
      </c>
      <c r="C1665" t="n">
        <v>0</v>
      </c>
      <c r="D1665" t="n">
        <v>0</v>
      </c>
      <c r="E1665" t="s">
        <v>1675</v>
      </c>
      <c r="F1665" t="s"/>
      <c r="G1665" t="s"/>
      <c r="H1665" t="s"/>
      <c r="I1665" t="s"/>
      <c r="J1665" t="n">
        <v>0.4291</v>
      </c>
      <c r="K1665" t="n">
        <v>0</v>
      </c>
      <c r="L1665" t="n">
        <v>0.585</v>
      </c>
      <c r="M1665" t="n">
        <v>0.415</v>
      </c>
    </row>
    <row r="1666" spans="1:13">
      <c r="A1666" s="1">
        <f>HYPERLINK("http://www.twitter.com/NathanBLawrence/status/948955122670981120", "948955122670981120")</f>
        <v/>
      </c>
      <c r="B1666" s="2" t="n">
        <v>43104.68872685185</v>
      </c>
      <c r="C1666" t="n">
        <v>0</v>
      </c>
      <c r="D1666" t="n">
        <v>0</v>
      </c>
      <c r="E1666" t="s">
        <v>1676</v>
      </c>
      <c r="F1666" t="s"/>
      <c r="G1666" t="s"/>
      <c r="H1666" t="s"/>
      <c r="I1666" t="s"/>
      <c r="J1666" t="n">
        <v>0.4301</v>
      </c>
      <c r="K1666" t="n">
        <v>0.049</v>
      </c>
      <c r="L1666" t="n">
        <v>0.8139999999999999</v>
      </c>
      <c r="M1666" t="n">
        <v>0.138</v>
      </c>
    </row>
    <row r="1667" spans="1:13">
      <c r="A1667" s="1">
        <f>HYPERLINK("http://www.twitter.com/NathanBLawrence/status/948950925170872320", "948950925170872320")</f>
        <v/>
      </c>
      <c r="B1667" s="2" t="n">
        <v>43104.67714120371</v>
      </c>
      <c r="C1667" t="n">
        <v>0</v>
      </c>
      <c r="D1667" t="n">
        <v>0</v>
      </c>
      <c r="E1667" t="s">
        <v>1677</v>
      </c>
      <c r="F1667" t="s"/>
      <c r="G1667" t="s"/>
      <c r="H1667" t="s"/>
      <c r="I1667" t="s"/>
      <c r="J1667" t="n">
        <v>0.2363</v>
      </c>
      <c r="K1667" t="n">
        <v>0.092</v>
      </c>
      <c r="L1667" t="n">
        <v>0.777</v>
      </c>
      <c r="M1667" t="n">
        <v>0.131</v>
      </c>
    </row>
    <row r="1668" spans="1:13">
      <c r="A1668" s="1">
        <f>HYPERLINK("http://www.twitter.com/NathanBLawrence/status/948949019858034688", "948949019858034688")</f>
        <v/>
      </c>
      <c r="B1668" s="2" t="n">
        <v>43104.67188657408</v>
      </c>
      <c r="C1668" t="n">
        <v>0</v>
      </c>
      <c r="D1668" t="n">
        <v>0</v>
      </c>
      <c r="E1668" t="s">
        <v>1678</v>
      </c>
      <c r="F1668" t="s"/>
      <c r="G1668" t="s"/>
      <c r="H1668" t="s"/>
      <c r="I1668" t="s"/>
      <c r="J1668" t="n">
        <v>-0.8689</v>
      </c>
      <c r="K1668" t="n">
        <v>0.43</v>
      </c>
      <c r="L1668" t="n">
        <v>0.57</v>
      </c>
      <c r="M1668" t="n">
        <v>0</v>
      </c>
    </row>
    <row r="1669" spans="1:13">
      <c r="A1669" s="1">
        <f>HYPERLINK("http://www.twitter.com/NathanBLawrence/status/948932975185530881", "948932975185530881")</f>
        <v/>
      </c>
      <c r="B1669" s="2" t="n">
        <v>43104.62761574074</v>
      </c>
      <c r="C1669" t="n">
        <v>5</v>
      </c>
      <c r="D1669" t="n">
        <v>1</v>
      </c>
      <c r="E1669" t="s">
        <v>1679</v>
      </c>
      <c r="F1669" t="s"/>
      <c r="G1669" t="s"/>
      <c r="H1669" t="s"/>
      <c r="I1669" t="s"/>
      <c r="J1669" t="n">
        <v>0</v>
      </c>
      <c r="K1669" t="n">
        <v>0</v>
      </c>
      <c r="L1669" t="n">
        <v>1</v>
      </c>
      <c r="M1669" t="n">
        <v>0</v>
      </c>
    </row>
    <row r="1670" spans="1:13">
      <c r="A1670" s="1">
        <f>HYPERLINK("http://www.twitter.com/NathanBLawrence/status/948658464477282304", "948658464477282304")</f>
        <v/>
      </c>
      <c r="B1670" s="2" t="n">
        <v>43103.87010416666</v>
      </c>
      <c r="C1670" t="n">
        <v>1</v>
      </c>
      <c r="D1670" t="n">
        <v>0</v>
      </c>
      <c r="E1670" t="s">
        <v>1680</v>
      </c>
      <c r="F1670" t="s"/>
      <c r="G1670" t="s"/>
      <c r="H1670" t="s"/>
      <c r="I1670" t="s"/>
      <c r="J1670" t="n">
        <v>0</v>
      </c>
      <c r="K1670" t="n">
        <v>0</v>
      </c>
      <c r="L1670" t="n">
        <v>1</v>
      </c>
      <c r="M1670" t="n">
        <v>0</v>
      </c>
    </row>
    <row r="1671" spans="1:13">
      <c r="A1671" s="1">
        <f>HYPERLINK("http://www.twitter.com/NathanBLawrence/status/948647146517139457", "948647146517139457")</f>
        <v/>
      </c>
      <c r="B1671" s="2" t="n">
        <v>43103.83887731482</v>
      </c>
      <c r="C1671" t="n">
        <v>0</v>
      </c>
      <c r="D1671" t="n">
        <v>131</v>
      </c>
      <c r="E1671" t="s">
        <v>1681</v>
      </c>
      <c r="F1671" t="s"/>
      <c r="G1671" t="s"/>
      <c r="H1671" t="s"/>
      <c r="I1671" t="s"/>
      <c r="J1671" t="n">
        <v>-0.2732</v>
      </c>
      <c r="K1671" t="n">
        <v>0.13</v>
      </c>
      <c r="L1671" t="n">
        <v>0.87</v>
      </c>
      <c r="M1671" t="n">
        <v>0</v>
      </c>
    </row>
    <row r="1672" spans="1:13">
      <c r="A1672" s="1">
        <f>HYPERLINK("http://www.twitter.com/NathanBLawrence/status/948646974735159298", "948646974735159298")</f>
        <v/>
      </c>
      <c r="B1672" s="2" t="n">
        <v>43103.83840277778</v>
      </c>
      <c r="C1672" t="n">
        <v>1</v>
      </c>
      <c r="D1672" t="n">
        <v>0</v>
      </c>
      <c r="E1672" t="s">
        <v>1682</v>
      </c>
      <c r="F1672" t="s"/>
      <c r="G1672" t="s"/>
      <c r="H1672" t="s"/>
      <c r="I1672" t="s"/>
      <c r="J1672" t="n">
        <v>0</v>
      </c>
      <c r="K1672" t="n">
        <v>0</v>
      </c>
      <c r="L1672" t="n">
        <v>1</v>
      </c>
      <c r="M1672" t="n">
        <v>0</v>
      </c>
    </row>
    <row r="1673" spans="1:13">
      <c r="A1673" s="1">
        <f>HYPERLINK("http://www.twitter.com/NathanBLawrence/status/948637824449998848", "948637824449998848")</f>
        <v/>
      </c>
      <c r="B1673" s="2" t="n">
        <v>43103.81314814815</v>
      </c>
      <c r="C1673" t="n">
        <v>0</v>
      </c>
      <c r="D1673" t="n">
        <v>46</v>
      </c>
      <c r="E1673" t="s">
        <v>1683</v>
      </c>
      <c r="F1673" t="s"/>
      <c r="G1673" t="s"/>
      <c r="H1673" t="s"/>
      <c r="I1673" t="s"/>
      <c r="J1673" t="n">
        <v>0.3818</v>
      </c>
      <c r="K1673" t="n">
        <v>0</v>
      </c>
      <c r="L1673" t="n">
        <v>0.88</v>
      </c>
      <c r="M1673" t="n">
        <v>0.12</v>
      </c>
    </row>
    <row r="1674" spans="1:13">
      <c r="A1674" s="1">
        <f>HYPERLINK("http://www.twitter.com/NathanBLawrence/status/948622374450155520", "948622374450155520")</f>
        <v/>
      </c>
      <c r="B1674" s="2" t="n">
        <v>43103.77052083334</v>
      </c>
      <c r="C1674" t="n">
        <v>0</v>
      </c>
      <c r="D1674" t="n">
        <v>0</v>
      </c>
      <c r="E1674" t="s">
        <v>1684</v>
      </c>
      <c r="F1674">
        <f>HYPERLINK("http://pbs.twimg.com/media/DSovBBbUQAAHmvn.jpg", "http://pbs.twimg.com/media/DSovBBbUQAAHmvn.jpg")</f>
        <v/>
      </c>
      <c r="G1674" t="s"/>
      <c r="H1674" t="s"/>
      <c r="I1674" t="s"/>
      <c r="J1674" t="n">
        <v>0.8558</v>
      </c>
      <c r="K1674" t="n">
        <v>0</v>
      </c>
      <c r="L1674" t="n">
        <v>0.763</v>
      </c>
      <c r="M1674" t="n">
        <v>0.237</v>
      </c>
    </row>
    <row r="1675" spans="1:13">
      <c r="A1675" s="1">
        <f>HYPERLINK("http://www.twitter.com/NathanBLawrence/status/948536394565193729", "948536394565193729")</f>
        <v/>
      </c>
      <c r="B1675" s="2" t="n">
        <v>43103.53326388889</v>
      </c>
      <c r="C1675" t="n">
        <v>1</v>
      </c>
      <c r="D1675" t="n">
        <v>0</v>
      </c>
      <c r="E1675" t="s">
        <v>1685</v>
      </c>
      <c r="F1675" t="s"/>
      <c r="G1675" t="s"/>
      <c r="H1675" t="s"/>
      <c r="I1675" t="s"/>
      <c r="J1675" t="n">
        <v>-0.0258</v>
      </c>
      <c r="K1675" t="n">
        <v>0.152</v>
      </c>
      <c r="L1675" t="n">
        <v>0.702</v>
      </c>
      <c r="M1675" t="n">
        <v>0.146</v>
      </c>
    </row>
    <row r="1676" spans="1:13">
      <c r="A1676" s="1">
        <f>HYPERLINK("http://www.twitter.com/NathanBLawrence/status/948503947190460417", "948503947190460417")</f>
        <v/>
      </c>
      <c r="B1676" s="2" t="n">
        <v>43103.44372685185</v>
      </c>
      <c r="C1676" t="n">
        <v>0</v>
      </c>
      <c r="D1676" t="n">
        <v>5695</v>
      </c>
      <c r="E1676" t="s">
        <v>1686</v>
      </c>
      <c r="F1676" t="s"/>
      <c r="G1676" t="s"/>
      <c r="H1676" t="s"/>
      <c r="I1676" t="s"/>
      <c r="J1676" t="n">
        <v>0.2732</v>
      </c>
      <c r="K1676" t="n">
        <v>0</v>
      </c>
      <c r="L1676" t="n">
        <v>0.905</v>
      </c>
      <c r="M1676" t="n">
        <v>0.095</v>
      </c>
    </row>
    <row r="1677" spans="1:13">
      <c r="A1677" s="1">
        <f>HYPERLINK("http://www.twitter.com/NathanBLawrence/status/948415657800093696", "948415657800093696")</f>
        <v/>
      </c>
      <c r="B1677" s="2" t="n">
        <v>43103.20009259259</v>
      </c>
      <c r="C1677" t="n">
        <v>0</v>
      </c>
      <c r="D1677" t="n">
        <v>0</v>
      </c>
      <c r="E1677" t="s">
        <v>1687</v>
      </c>
      <c r="F1677" t="s"/>
      <c r="G1677" t="s"/>
      <c r="H1677" t="s"/>
      <c r="I1677" t="s"/>
      <c r="J1677" t="n">
        <v>0</v>
      </c>
      <c r="K1677" t="n">
        <v>0</v>
      </c>
      <c r="L1677" t="n">
        <v>1</v>
      </c>
      <c r="M1677" t="n">
        <v>0</v>
      </c>
    </row>
    <row r="1678" spans="1:13">
      <c r="A1678" s="1">
        <f>HYPERLINK("http://www.twitter.com/NathanBLawrence/status/948408927275880448", "948408927275880448")</f>
        <v/>
      </c>
      <c r="B1678" s="2" t="n">
        <v>43103.1815162037</v>
      </c>
      <c r="C1678" t="n">
        <v>0</v>
      </c>
      <c r="D1678" t="n">
        <v>0</v>
      </c>
      <c r="E1678" t="s">
        <v>1688</v>
      </c>
      <c r="F1678" t="s"/>
      <c r="G1678" t="s"/>
      <c r="H1678" t="s"/>
      <c r="I1678" t="s"/>
      <c r="J1678" t="n">
        <v>0.4767</v>
      </c>
      <c r="K1678" t="n">
        <v>0</v>
      </c>
      <c r="L1678" t="n">
        <v>0.846</v>
      </c>
      <c r="M1678" t="n">
        <v>0.154</v>
      </c>
    </row>
    <row r="1679" spans="1:13">
      <c r="A1679" s="1">
        <f>HYPERLINK("http://www.twitter.com/NathanBLawrence/status/948406683084251136", "948406683084251136")</f>
        <v/>
      </c>
      <c r="B1679" s="2" t="n">
        <v>43103.17532407407</v>
      </c>
      <c r="C1679" t="n">
        <v>0</v>
      </c>
      <c r="D1679" t="n">
        <v>0</v>
      </c>
      <c r="E1679" t="s">
        <v>1689</v>
      </c>
      <c r="F1679" t="s"/>
      <c r="G1679" t="s"/>
      <c r="H1679" t="s"/>
      <c r="I1679" t="s"/>
      <c r="J1679" t="n">
        <v>0.5719</v>
      </c>
      <c r="K1679" t="n">
        <v>0</v>
      </c>
      <c r="L1679" t="n">
        <v>0.9340000000000001</v>
      </c>
      <c r="M1679" t="n">
        <v>0.066</v>
      </c>
    </row>
    <row r="1680" spans="1:13">
      <c r="A1680" s="1">
        <f>HYPERLINK("http://www.twitter.com/NathanBLawrence/status/948405747657924614", "948405747657924614")</f>
        <v/>
      </c>
      <c r="B1680" s="2" t="n">
        <v>43103.17274305555</v>
      </c>
      <c r="C1680" t="n">
        <v>0</v>
      </c>
      <c r="D1680" t="n">
        <v>0</v>
      </c>
      <c r="E1680" t="s">
        <v>1690</v>
      </c>
      <c r="F1680" t="s"/>
      <c r="G1680" t="s"/>
      <c r="H1680" t="s"/>
      <c r="I1680" t="s"/>
      <c r="J1680" t="n">
        <v>0</v>
      </c>
      <c r="K1680" t="n">
        <v>0</v>
      </c>
      <c r="L1680" t="n">
        <v>1</v>
      </c>
      <c r="M1680" t="n">
        <v>0</v>
      </c>
    </row>
    <row r="1681" spans="1:13">
      <c r="A1681" s="1">
        <f>HYPERLINK("http://www.twitter.com/NathanBLawrence/status/948405614472056833", "948405614472056833")</f>
        <v/>
      </c>
      <c r="B1681" s="2" t="n">
        <v>43103.17237268519</v>
      </c>
      <c r="C1681" t="n">
        <v>0</v>
      </c>
      <c r="D1681" t="n">
        <v>5104</v>
      </c>
      <c r="E1681" t="s">
        <v>1691</v>
      </c>
      <c r="F1681" t="s"/>
      <c r="G1681" t="s"/>
      <c r="H1681" t="s"/>
      <c r="I1681" t="s"/>
      <c r="J1681" t="n">
        <v>-0.4576</v>
      </c>
      <c r="K1681" t="n">
        <v>0.12</v>
      </c>
      <c r="L1681" t="n">
        <v>0.88</v>
      </c>
      <c r="M1681" t="n">
        <v>0</v>
      </c>
    </row>
    <row r="1682" spans="1:13">
      <c r="A1682" s="1">
        <f>HYPERLINK("http://www.twitter.com/NathanBLawrence/status/948405010492219394", "948405010492219394")</f>
        <v/>
      </c>
      <c r="B1682" s="2" t="n">
        <v>43103.17070601852</v>
      </c>
      <c r="C1682" t="n">
        <v>0</v>
      </c>
      <c r="D1682" t="n">
        <v>0</v>
      </c>
      <c r="E1682" t="s">
        <v>1692</v>
      </c>
      <c r="F1682" t="s"/>
      <c r="G1682" t="s"/>
      <c r="H1682" t="s"/>
      <c r="I1682" t="s"/>
      <c r="J1682" t="n">
        <v>0.3412</v>
      </c>
      <c r="K1682" t="n">
        <v>0</v>
      </c>
      <c r="L1682" t="n">
        <v>0.675</v>
      </c>
      <c r="M1682" t="n">
        <v>0.325</v>
      </c>
    </row>
    <row r="1683" spans="1:13">
      <c r="A1683" s="1">
        <f>HYPERLINK("http://www.twitter.com/NathanBLawrence/status/948404603179200512", "948404603179200512")</f>
        <v/>
      </c>
      <c r="B1683" s="2" t="n">
        <v>43103.16958333334</v>
      </c>
      <c r="C1683" t="n">
        <v>2</v>
      </c>
      <c r="D1683" t="n">
        <v>0</v>
      </c>
      <c r="E1683" t="s">
        <v>1693</v>
      </c>
      <c r="F1683" t="s"/>
      <c r="G1683" t="s"/>
      <c r="H1683" t="s"/>
      <c r="I1683" t="s"/>
      <c r="J1683" t="n">
        <v>-0.5106000000000001</v>
      </c>
      <c r="K1683" t="n">
        <v>0.156</v>
      </c>
      <c r="L1683" t="n">
        <v>0.78</v>
      </c>
      <c r="M1683" t="n">
        <v>0.064</v>
      </c>
    </row>
    <row r="1684" spans="1:13">
      <c r="A1684" s="1">
        <f>HYPERLINK("http://www.twitter.com/NathanBLawrence/status/948403530678849537", "948403530678849537")</f>
        <v/>
      </c>
      <c r="B1684" s="2" t="n">
        <v>43103.16662037037</v>
      </c>
      <c r="C1684" t="n">
        <v>0</v>
      </c>
      <c r="D1684" t="n">
        <v>0</v>
      </c>
      <c r="E1684" t="s">
        <v>1694</v>
      </c>
      <c r="F1684" t="s"/>
      <c r="G1684" t="s"/>
      <c r="H1684" t="s"/>
      <c r="I1684" t="s"/>
      <c r="J1684" t="n">
        <v>0.6131</v>
      </c>
      <c r="K1684" t="n">
        <v>0.116</v>
      </c>
      <c r="L1684" t="n">
        <v>0.625</v>
      </c>
      <c r="M1684" t="n">
        <v>0.259</v>
      </c>
    </row>
    <row r="1685" spans="1:13">
      <c r="A1685" s="1">
        <f>HYPERLINK("http://www.twitter.com/NathanBLawrence/status/948401839879442434", "948401839879442434")</f>
        <v/>
      </c>
      <c r="B1685" s="2" t="n">
        <v>43103.16195601852</v>
      </c>
      <c r="C1685" t="n">
        <v>1</v>
      </c>
      <c r="D1685" t="n">
        <v>0</v>
      </c>
      <c r="E1685" t="s">
        <v>1695</v>
      </c>
      <c r="F1685" t="s"/>
      <c r="G1685" t="s"/>
      <c r="H1685" t="s"/>
      <c r="I1685" t="s"/>
      <c r="J1685" t="n">
        <v>0.3544</v>
      </c>
      <c r="K1685" t="n">
        <v>0.147</v>
      </c>
      <c r="L1685" t="n">
        <v>0.623</v>
      </c>
      <c r="M1685" t="n">
        <v>0.23</v>
      </c>
    </row>
    <row r="1686" spans="1:13">
      <c r="A1686" s="1">
        <f>HYPERLINK("http://www.twitter.com/NathanBLawrence/status/948401557619593217", "948401557619593217")</f>
        <v/>
      </c>
      <c r="B1686" s="2" t="n">
        <v>43103.16118055556</v>
      </c>
      <c r="C1686" t="n">
        <v>0</v>
      </c>
      <c r="D1686" t="n">
        <v>0</v>
      </c>
      <c r="E1686" t="s">
        <v>1696</v>
      </c>
      <c r="F1686" t="s"/>
      <c r="G1686" t="s"/>
      <c r="H1686" t="s"/>
      <c r="I1686" t="s"/>
      <c r="J1686" t="n">
        <v>-0.1779</v>
      </c>
      <c r="K1686" t="n">
        <v>0.062</v>
      </c>
      <c r="L1686" t="n">
        <v>0.869</v>
      </c>
      <c r="M1686" t="n">
        <v>0.06900000000000001</v>
      </c>
    </row>
    <row r="1687" spans="1:13">
      <c r="A1687" s="1">
        <f>HYPERLINK("http://www.twitter.com/NathanBLawrence/status/948400384980201472", "948400384980201472")</f>
        <v/>
      </c>
      <c r="B1687" s="2" t="n">
        <v>43103.15793981482</v>
      </c>
      <c r="C1687" t="n">
        <v>3</v>
      </c>
      <c r="D1687" t="n">
        <v>0</v>
      </c>
      <c r="E1687" t="s">
        <v>1697</v>
      </c>
      <c r="F1687" t="s"/>
      <c r="G1687" t="s"/>
      <c r="H1687" t="s"/>
      <c r="I1687" t="s"/>
      <c r="J1687" t="n">
        <v>0.4019</v>
      </c>
      <c r="K1687" t="n">
        <v>0</v>
      </c>
      <c r="L1687" t="n">
        <v>0.912</v>
      </c>
      <c r="M1687" t="n">
        <v>0.08799999999999999</v>
      </c>
    </row>
    <row r="1688" spans="1:13">
      <c r="A1688" s="1">
        <f>HYPERLINK("http://www.twitter.com/NathanBLawrence/status/948399008690638848", "948399008690638848")</f>
        <v/>
      </c>
      <c r="B1688" s="2" t="n">
        <v>43103.15414351852</v>
      </c>
      <c r="C1688" t="n">
        <v>0</v>
      </c>
      <c r="D1688" t="n">
        <v>1198</v>
      </c>
      <c r="E1688" t="s">
        <v>1698</v>
      </c>
      <c r="F1688">
        <f>HYPERLINK("http://pbs.twimg.com/media/DSli9ULW4AAqI_A.jpg", "http://pbs.twimg.com/media/DSli9ULW4AAqI_A.jpg")</f>
        <v/>
      </c>
      <c r="G1688" t="s"/>
      <c r="H1688" t="s"/>
      <c r="I1688" t="s"/>
      <c r="J1688" t="n">
        <v>0.6486</v>
      </c>
      <c r="K1688" t="n">
        <v>0</v>
      </c>
      <c r="L1688" t="n">
        <v>0.694</v>
      </c>
      <c r="M1688" t="n">
        <v>0.306</v>
      </c>
    </row>
    <row r="1689" spans="1:13">
      <c r="A1689" s="1">
        <f>HYPERLINK("http://www.twitter.com/NathanBLawrence/status/948398636307755008", "948398636307755008")</f>
        <v/>
      </c>
      <c r="B1689" s="2" t="n">
        <v>43103.15311342593</v>
      </c>
      <c r="C1689" t="n">
        <v>0</v>
      </c>
      <c r="D1689" t="n">
        <v>186314</v>
      </c>
      <c r="E1689" t="s">
        <v>1699</v>
      </c>
      <c r="F1689" t="s"/>
      <c r="G1689" t="s"/>
      <c r="H1689" t="s"/>
      <c r="I1689" t="s"/>
      <c r="J1689" t="n">
        <v>0</v>
      </c>
      <c r="K1689" t="n">
        <v>0</v>
      </c>
      <c r="L1689" t="n">
        <v>1</v>
      </c>
      <c r="M1689" t="n">
        <v>0</v>
      </c>
    </row>
    <row r="1690" spans="1:13">
      <c r="A1690" s="1">
        <f>HYPERLINK("http://www.twitter.com/NathanBLawrence/status/948252050852335617", "948252050852335617")</f>
        <v/>
      </c>
      <c r="B1690" s="2" t="n">
        <v>43102.74862268518</v>
      </c>
      <c r="C1690" t="n">
        <v>0</v>
      </c>
      <c r="D1690" t="n">
        <v>0</v>
      </c>
      <c r="E1690" t="s">
        <v>1700</v>
      </c>
      <c r="F1690" t="s"/>
      <c r="G1690" t="s"/>
      <c r="H1690" t="s"/>
      <c r="I1690" t="s"/>
      <c r="J1690" t="n">
        <v>-0.128</v>
      </c>
      <c r="K1690" t="n">
        <v>0.158</v>
      </c>
      <c r="L1690" t="n">
        <v>0.842</v>
      </c>
      <c r="M1690" t="n">
        <v>0</v>
      </c>
    </row>
    <row r="1691" spans="1:13">
      <c r="A1691" s="1">
        <f>HYPERLINK("http://www.twitter.com/NathanBLawrence/status/948226520342061056", "948226520342061056")</f>
        <v/>
      </c>
      <c r="B1691" s="2" t="n">
        <v>43102.6781712963</v>
      </c>
      <c r="C1691" t="n">
        <v>0</v>
      </c>
      <c r="D1691" t="n">
        <v>0</v>
      </c>
      <c r="E1691" t="s">
        <v>1701</v>
      </c>
      <c r="F1691" t="s"/>
      <c r="G1691" t="s"/>
      <c r="H1691" t="s"/>
      <c r="I1691" t="s"/>
      <c r="J1691" t="n">
        <v>0</v>
      </c>
      <c r="K1691" t="n">
        <v>0</v>
      </c>
      <c r="L1691" t="n">
        <v>1</v>
      </c>
      <c r="M1691" t="n">
        <v>0</v>
      </c>
    </row>
    <row r="1692" spans="1:13">
      <c r="A1692" s="1">
        <f>HYPERLINK("http://www.twitter.com/NathanBLawrence/status/948211725043732480", "948211725043732480")</f>
        <v/>
      </c>
      <c r="B1692" s="2" t="n">
        <v>43102.63733796297</v>
      </c>
      <c r="C1692" t="n">
        <v>0</v>
      </c>
      <c r="D1692" t="n">
        <v>13958</v>
      </c>
      <c r="E1692" t="s">
        <v>1702</v>
      </c>
      <c r="F1692" t="s"/>
      <c r="G1692" t="s"/>
      <c r="H1692" t="s"/>
      <c r="I1692" t="s"/>
      <c r="J1692" t="n">
        <v>0.7906</v>
      </c>
      <c r="K1692" t="n">
        <v>0</v>
      </c>
      <c r="L1692" t="n">
        <v>0.742</v>
      </c>
      <c r="M1692" t="n">
        <v>0.258</v>
      </c>
    </row>
    <row r="1693" spans="1:13">
      <c r="A1693" s="1">
        <f>HYPERLINK("http://www.twitter.com/NathanBLawrence/status/948211598455435264", "948211598455435264")</f>
        <v/>
      </c>
      <c r="B1693" s="2" t="n">
        <v>43102.63699074074</v>
      </c>
      <c r="C1693" t="n">
        <v>0</v>
      </c>
      <c r="D1693" t="n">
        <v>36291</v>
      </c>
      <c r="E1693" t="s">
        <v>1703</v>
      </c>
      <c r="F1693" t="s"/>
      <c r="G1693" t="s"/>
      <c r="H1693" t="s"/>
      <c r="I1693" t="s"/>
      <c r="J1693" t="n">
        <v>0.0258</v>
      </c>
      <c r="K1693" t="n">
        <v>0.169</v>
      </c>
      <c r="L1693" t="n">
        <v>0.658</v>
      </c>
      <c r="M1693" t="n">
        <v>0.173</v>
      </c>
    </row>
    <row r="1694" spans="1:13">
      <c r="A1694" s="1">
        <f>HYPERLINK("http://www.twitter.com/NathanBLawrence/status/948197540436037632", "948197540436037632")</f>
        <v/>
      </c>
      <c r="B1694" s="2" t="n">
        <v>43102.59819444444</v>
      </c>
      <c r="C1694" t="n">
        <v>0</v>
      </c>
      <c r="D1694" t="n">
        <v>0</v>
      </c>
      <c r="E1694" t="s">
        <v>1704</v>
      </c>
      <c r="F1694" t="s"/>
      <c r="G1694" t="s"/>
      <c r="H1694" t="s"/>
      <c r="I1694" t="s"/>
      <c r="J1694" t="n">
        <v>0</v>
      </c>
      <c r="K1694" t="n">
        <v>0</v>
      </c>
      <c r="L1694" t="n">
        <v>1</v>
      </c>
      <c r="M1694" t="n">
        <v>0</v>
      </c>
    </row>
    <row r="1695" spans="1:13">
      <c r="A1695" s="1">
        <f>HYPERLINK("http://www.twitter.com/NathanBLawrence/status/947952441395417095", "947952441395417095")</f>
        <v/>
      </c>
      <c r="B1695" s="2" t="n">
        <v>43101.92185185185</v>
      </c>
      <c r="C1695" t="n">
        <v>0</v>
      </c>
      <c r="D1695" t="n">
        <v>3546</v>
      </c>
      <c r="E1695" t="s">
        <v>1705</v>
      </c>
      <c r="F1695" t="s"/>
      <c r="G1695" t="s"/>
      <c r="H1695" t="s"/>
      <c r="I1695" t="s"/>
      <c r="J1695" t="n">
        <v>0.1531</v>
      </c>
      <c r="K1695" t="n">
        <v>0</v>
      </c>
      <c r="L1695" t="n">
        <v>0.929</v>
      </c>
      <c r="M1695" t="n">
        <v>0.07099999999999999</v>
      </c>
    </row>
    <row r="1696" spans="1:13">
      <c r="A1696" s="1">
        <f>HYPERLINK("http://www.twitter.com/NathanBLawrence/status/947858432786358273", "947858432786358273")</f>
        <v/>
      </c>
      <c r="B1696" s="2" t="n">
        <v>43101.66244212963</v>
      </c>
      <c r="C1696" t="n">
        <v>0</v>
      </c>
      <c r="D1696" t="n">
        <v>0</v>
      </c>
      <c r="E1696" t="s">
        <v>1706</v>
      </c>
      <c r="F1696" t="s"/>
      <c r="G1696" t="s"/>
      <c r="H1696" t="s"/>
      <c r="I1696" t="s"/>
      <c r="J1696" t="n">
        <v>0.4891</v>
      </c>
      <c r="K1696" t="n">
        <v>0</v>
      </c>
      <c r="L1696" t="n">
        <v>0.782</v>
      </c>
      <c r="M1696" t="n">
        <v>0.218</v>
      </c>
    </row>
    <row r="1697" spans="1:13">
      <c r="A1697" s="1">
        <f>HYPERLINK("http://www.twitter.com/NathanBLawrence/status/947832980478799873", "947832980478799873")</f>
        <v/>
      </c>
      <c r="B1697" s="2" t="n">
        <v>43101.59221064814</v>
      </c>
      <c r="C1697" t="n">
        <v>0</v>
      </c>
      <c r="D1697" t="n">
        <v>0</v>
      </c>
      <c r="E1697" t="s">
        <v>1707</v>
      </c>
      <c r="F1697" t="s"/>
      <c r="G1697" t="s"/>
      <c r="H1697" t="s"/>
      <c r="I1697" t="s"/>
      <c r="J1697" t="n">
        <v>0</v>
      </c>
      <c r="K1697" t="n">
        <v>0</v>
      </c>
      <c r="L1697" t="n">
        <v>1</v>
      </c>
      <c r="M1697" t="n">
        <v>0</v>
      </c>
    </row>
    <row r="1698" spans="1:13">
      <c r="A1698" s="1">
        <f>HYPERLINK("http://www.twitter.com/NathanBLawrence/status/947718008369270789", "947718008369270789")</f>
        <v/>
      </c>
      <c r="B1698" s="2" t="n">
        <v>43101.27494212963</v>
      </c>
      <c r="C1698" t="n">
        <v>1</v>
      </c>
      <c r="D1698" t="n">
        <v>0</v>
      </c>
      <c r="E1698" t="s">
        <v>1708</v>
      </c>
      <c r="F1698" t="s"/>
      <c r="G1698" t="s"/>
      <c r="H1698" t="s"/>
      <c r="I1698" t="s"/>
      <c r="J1698" t="n">
        <v>0.8741</v>
      </c>
      <c r="K1698" t="n">
        <v>0</v>
      </c>
      <c r="L1698" t="n">
        <v>0.71</v>
      </c>
      <c r="M1698" t="n">
        <v>0.29</v>
      </c>
    </row>
    <row r="1699" spans="1:13">
      <c r="A1699" s="1">
        <f>HYPERLINK("http://www.twitter.com/NathanBLawrence/status/947711784743526400", "947711784743526400")</f>
        <v/>
      </c>
      <c r="B1699" s="2" t="n">
        <v>43101.2577662037</v>
      </c>
      <c r="C1699" t="n">
        <v>0</v>
      </c>
      <c r="D1699" t="n">
        <v>0</v>
      </c>
      <c r="E1699" t="s">
        <v>1709</v>
      </c>
      <c r="F1699" t="s"/>
      <c r="G1699" t="s"/>
      <c r="H1699" t="s"/>
      <c r="I1699" t="s"/>
      <c r="J1699" t="n">
        <v>0</v>
      </c>
      <c r="K1699" t="n">
        <v>0</v>
      </c>
      <c r="L1699" t="n">
        <v>1</v>
      </c>
      <c r="M1699" t="n">
        <v>0</v>
      </c>
    </row>
    <row r="1700" spans="1:13">
      <c r="A1700" s="1">
        <f>HYPERLINK("http://www.twitter.com/NathanBLawrence/status/947670887402233861", "947670887402233861")</f>
        <v/>
      </c>
      <c r="B1700" s="2" t="n">
        <v>43101.14491898148</v>
      </c>
      <c r="C1700" t="n">
        <v>1</v>
      </c>
      <c r="D1700" t="n">
        <v>0</v>
      </c>
      <c r="E1700" t="s">
        <v>1710</v>
      </c>
      <c r="F1700" t="s"/>
      <c r="G1700" t="s"/>
      <c r="H1700" t="s"/>
      <c r="I1700" t="s"/>
      <c r="J1700" t="n">
        <v>0.4404</v>
      </c>
      <c r="K1700" t="n">
        <v>0</v>
      </c>
      <c r="L1700" t="n">
        <v>0.805</v>
      </c>
      <c r="M1700" t="n">
        <v>0.195</v>
      </c>
    </row>
    <row r="1701" spans="1:13">
      <c r="A1701" s="1">
        <f>HYPERLINK("http://www.twitter.com/NathanBLawrence/status/947582449936150528", "947582449936150528")</f>
        <v/>
      </c>
      <c r="B1701" s="2" t="n">
        <v>43100.90086805556</v>
      </c>
      <c r="C1701" t="n">
        <v>0</v>
      </c>
      <c r="D1701" t="n">
        <v>0</v>
      </c>
      <c r="E1701" t="s">
        <v>1711</v>
      </c>
      <c r="F1701" t="s"/>
      <c r="G1701" t="s"/>
      <c r="H1701" t="s"/>
      <c r="I1701" t="s"/>
      <c r="J1701" t="n">
        <v>0.6562</v>
      </c>
      <c r="K1701" t="n">
        <v>0</v>
      </c>
      <c r="L1701" t="n">
        <v>0.821</v>
      </c>
      <c r="M1701" t="n">
        <v>0.179</v>
      </c>
    </row>
    <row r="1702" spans="1:13">
      <c r="A1702" s="1">
        <f>HYPERLINK("http://www.twitter.com/NathanBLawrence/status/947580923716960258", "947580923716960258")</f>
        <v/>
      </c>
      <c r="B1702" s="2" t="n">
        <v>43100.89666666667</v>
      </c>
      <c r="C1702" t="n">
        <v>0</v>
      </c>
      <c r="D1702" t="n">
        <v>0</v>
      </c>
      <c r="E1702" t="s">
        <v>1712</v>
      </c>
      <c r="F1702" t="s"/>
      <c r="G1702" t="s"/>
      <c r="H1702" t="s"/>
      <c r="I1702" t="s"/>
      <c r="J1702" t="n">
        <v>0.4939</v>
      </c>
      <c r="K1702" t="n">
        <v>0</v>
      </c>
      <c r="L1702" t="n">
        <v>0.6860000000000001</v>
      </c>
      <c r="M1702" t="n">
        <v>0.314</v>
      </c>
    </row>
    <row r="1703" spans="1:13">
      <c r="A1703" s="1">
        <f>HYPERLINK("http://www.twitter.com/NathanBLawrence/status/947522007461134338", "947522007461134338")</f>
        <v/>
      </c>
      <c r="B1703" s="2" t="n">
        <v>43100.73408564815</v>
      </c>
      <c r="C1703" t="n">
        <v>0</v>
      </c>
      <c r="D1703" t="n">
        <v>13</v>
      </c>
      <c r="E1703" t="s">
        <v>1713</v>
      </c>
      <c r="F1703">
        <f>HYPERLINK("http://pbs.twimg.com/media/DSWfacnU8AASBJK.jpg", "http://pbs.twimg.com/media/DSWfacnU8AASBJK.jpg")</f>
        <v/>
      </c>
      <c r="G1703" t="s"/>
      <c r="H1703" t="s"/>
      <c r="I1703" t="s"/>
      <c r="J1703" t="n">
        <v>0</v>
      </c>
      <c r="K1703" t="n">
        <v>0</v>
      </c>
      <c r="L1703" t="n">
        <v>1</v>
      </c>
      <c r="M1703" t="n">
        <v>0</v>
      </c>
    </row>
    <row r="1704" spans="1:13">
      <c r="A1704" s="1">
        <f>HYPERLINK("http://www.twitter.com/NathanBLawrence/status/947519737277362176", "947519737277362176")</f>
        <v/>
      </c>
      <c r="B1704" s="2" t="n">
        <v>43100.72782407407</v>
      </c>
      <c r="C1704" t="n">
        <v>0</v>
      </c>
      <c r="D1704" t="n">
        <v>5517</v>
      </c>
      <c r="E1704" t="s">
        <v>1714</v>
      </c>
      <c r="F1704">
        <f>HYPERLINK("http://pbs.twimg.com/media/DSUqkxYX0AAJV2C.jpg", "http://pbs.twimg.com/media/DSUqkxYX0AAJV2C.jpg")</f>
        <v/>
      </c>
      <c r="G1704" t="s"/>
      <c r="H1704" t="s"/>
      <c r="I1704" t="s"/>
      <c r="J1704" t="n">
        <v>0</v>
      </c>
      <c r="K1704" t="n">
        <v>0</v>
      </c>
      <c r="L1704" t="n">
        <v>1</v>
      </c>
      <c r="M1704" t="n">
        <v>0</v>
      </c>
    </row>
    <row r="1705" spans="1:13">
      <c r="A1705" s="1">
        <f>HYPERLINK("http://www.twitter.com/NathanBLawrence/status/947321604320657408", "947321604320657408")</f>
        <v/>
      </c>
      <c r="B1705" s="2" t="n">
        <v>43100.18107638889</v>
      </c>
      <c r="C1705" t="n">
        <v>0</v>
      </c>
      <c r="D1705" t="n">
        <v>884</v>
      </c>
      <c r="E1705" t="s">
        <v>1715</v>
      </c>
      <c r="F1705" t="s"/>
      <c r="G1705" t="s"/>
      <c r="H1705" t="s"/>
      <c r="I1705" t="s"/>
      <c r="J1705" t="n">
        <v>0</v>
      </c>
      <c r="K1705" t="n">
        <v>0</v>
      </c>
      <c r="L1705" t="n">
        <v>1</v>
      </c>
      <c r="M1705" t="n">
        <v>0</v>
      </c>
    </row>
    <row r="1706" spans="1:13">
      <c r="A1706" s="1">
        <f>HYPERLINK("http://www.twitter.com/NathanBLawrence/status/946936048029982720", "946936048029982720")</f>
        <v/>
      </c>
      <c r="B1706" s="2" t="n">
        <v>43099.1171412037</v>
      </c>
      <c r="C1706" t="n">
        <v>0</v>
      </c>
      <c r="D1706" t="n">
        <v>0</v>
      </c>
      <c r="E1706" t="s">
        <v>1716</v>
      </c>
      <c r="F1706" t="s"/>
      <c r="G1706" t="s"/>
      <c r="H1706" t="s"/>
      <c r="I1706" t="s"/>
      <c r="J1706" t="n">
        <v>0.2617</v>
      </c>
      <c r="K1706" t="n">
        <v>0.083</v>
      </c>
      <c r="L1706" t="n">
        <v>0.779</v>
      </c>
      <c r="M1706" t="n">
        <v>0.138</v>
      </c>
    </row>
    <row r="1707" spans="1:13">
      <c r="A1707" s="1">
        <f>HYPERLINK("http://www.twitter.com/NathanBLawrence/status/946935656772751360", "946935656772751360")</f>
        <v/>
      </c>
      <c r="B1707" s="2" t="n">
        <v>43099.11606481481</v>
      </c>
      <c r="C1707" t="n">
        <v>0</v>
      </c>
      <c r="D1707" t="n">
        <v>0</v>
      </c>
      <c r="E1707" t="s">
        <v>1717</v>
      </c>
      <c r="F1707" t="s"/>
      <c r="G1707" t="s"/>
      <c r="H1707" t="s"/>
      <c r="I1707" t="s"/>
      <c r="J1707" t="n">
        <v>-0.4019</v>
      </c>
      <c r="K1707" t="n">
        <v>0.246</v>
      </c>
      <c r="L1707" t="n">
        <v>0.601</v>
      </c>
      <c r="M1707" t="n">
        <v>0.153</v>
      </c>
    </row>
    <row r="1708" spans="1:13">
      <c r="A1708" s="1">
        <f>HYPERLINK("http://www.twitter.com/NathanBLawrence/status/946934856424022016", "946934856424022016")</f>
        <v/>
      </c>
      <c r="B1708" s="2" t="n">
        <v>43099.11385416667</v>
      </c>
      <c r="C1708" t="n">
        <v>2</v>
      </c>
      <c r="D1708" t="n">
        <v>0</v>
      </c>
      <c r="E1708" t="s">
        <v>1718</v>
      </c>
      <c r="F1708" t="s"/>
      <c r="G1708" t="s"/>
      <c r="H1708" t="s"/>
      <c r="I1708" t="s"/>
      <c r="J1708" t="n">
        <v>0</v>
      </c>
      <c r="K1708" t="n">
        <v>0</v>
      </c>
      <c r="L1708" t="n">
        <v>1</v>
      </c>
      <c r="M1708" t="n">
        <v>0</v>
      </c>
    </row>
    <row r="1709" spans="1:13">
      <c r="A1709" s="1">
        <f>HYPERLINK("http://www.twitter.com/NathanBLawrence/status/946931718736498689", "946931718736498689")</f>
        <v/>
      </c>
      <c r="B1709" s="2" t="n">
        <v>43099.10519675926</v>
      </c>
      <c r="C1709" t="n">
        <v>0</v>
      </c>
      <c r="D1709" t="n">
        <v>0</v>
      </c>
      <c r="E1709" t="s">
        <v>1719</v>
      </c>
      <c r="F1709" t="s"/>
      <c r="G1709" t="s"/>
      <c r="H1709" t="s"/>
      <c r="I1709" t="s"/>
      <c r="J1709" t="n">
        <v>-0.3612</v>
      </c>
      <c r="K1709" t="n">
        <v>0.263</v>
      </c>
      <c r="L1709" t="n">
        <v>0.737</v>
      </c>
      <c r="M1709" t="n">
        <v>0</v>
      </c>
    </row>
    <row r="1710" spans="1:13">
      <c r="A1710" s="1">
        <f>HYPERLINK("http://www.twitter.com/NathanBLawrence/status/946917061657350144", "946917061657350144")</f>
        <v/>
      </c>
      <c r="B1710" s="2" t="n">
        <v>43099.06475694444</v>
      </c>
      <c r="C1710" t="n">
        <v>1</v>
      </c>
      <c r="D1710" t="n">
        <v>0</v>
      </c>
      <c r="E1710" t="s">
        <v>1720</v>
      </c>
      <c r="F1710" t="s"/>
      <c r="G1710" t="s"/>
      <c r="H1710" t="s"/>
      <c r="I1710" t="s"/>
      <c r="J1710" t="n">
        <v>0.0772</v>
      </c>
      <c r="K1710" t="n">
        <v>0.122</v>
      </c>
      <c r="L1710" t="n">
        <v>0.741</v>
      </c>
      <c r="M1710" t="n">
        <v>0.138</v>
      </c>
    </row>
    <row r="1711" spans="1:13">
      <c r="A1711" s="1">
        <f>HYPERLINK("http://www.twitter.com/NathanBLawrence/status/946862770020024321", "946862770020024321")</f>
        <v/>
      </c>
      <c r="B1711" s="2" t="n">
        <v>43098.91493055555</v>
      </c>
      <c r="C1711" t="n">
        <v>0</v>
      </c>
      <c r="D1711" t="n">
        <v>4</v>
      </c>
      <c r="E1711" t="s">
        <v>1721</v>
      </c>
      <c r="F1711" t="s"/>
      <c r="G1711" t="s"/>
      <c r="H1711" t="s"/>
      <c r="I1711" t="s"/>
      <c r="J1711" t="n">
        <v>-0.4939</v>
      </c>
      <c r="K1711" t="n">
        <v>0.242</v>
      </c>
      <c r="L1711" t="n">
        <v>0.758</v>
      </c>
      <c r="M1711" t="n">
        <v>0</v>
      </c>
    </row>
    <row r="1712" spans="1:13">
      <c r="A1712" s="1">
        <f>HYPERLINK("http://www.twitter.com/NathanBLawrence/status/946788711013998592", "946788711013998592")</f>
        <v/>
      </c>
      <c r="B1712" s="2" t="n">
        <v>43098.71056712963</v>
      </c>
      <c r="C1712" t="n">
        <v>1</v>
      </c>
      <c r="D1712" t="n">
        <v>0</v>
      </c>
      <c r="E1712" t="s">
        <v>1722</v>
      </c>
      <c r="F1712" t="s"/>
      <c r="G1712" t="s"/>
      <c r="H1712" t="s"/>
      <c r="I1712" t="s"/>
      <c r="J1712" t="n">
        <v>0</v>
      </c>
      <c r="K1712" t="n">
        <v>0</v>
      </c>
      <c r="L1712" t="n">
        <v>1</v>
      </c>
      <c r="M1712" t="n">
        <v>0</v>
      </c>
    </row>
    <row r="1713" spans="1:13">
      <c r="A1713" s="1">
        <f>HYPERLINK("http://www.twitter.com/NathanBLawrence/status/946764445153406977", "946764445153406977")</f>
        <v/>
      </c>
      <c r="B1713" s="2" t="n">
        <v>43098.64361111111</v>
      </c>
      <c r="C1713" t="n">
        <v>0</v>
      </c>
      <c r="D1713" t="n">
        <v>0</v>
      </c>
      <c r="E1713" t="s">
        <v>1723</v>
      </c>
      <c r="F1713" t="s"/>
      <c r="G1713" t="s"/>
      <c r="H1713" t="s"/>
      <c r="I1713" t="s"/>
      <c r="J1713" t="n">
        <v>0.3612</v>
      </c>
      <c r="K1713" t="n">
        <v>0</v>
      </c>
      <c r="L1713" t="n">
        <v>0.706</v>
      </c>
      <c r="M1713" t="n">
        <v>0.294</v>
      </c>
    </row>
    <row r="1714" spans="1:13">
      <c r="A1714" s="1">
        <f>HYPERLINK("http://www.twitter.com/NathanBLawrence/status/946758965123272706", "946758965123272706")</f>
        <v/>
      </c>
      <c r="B1714" s="2" t="n">
        <v>43098.6284837963</v>
      </c>
      <c r="C1714" t="n">
        <v>1</v>
      </c>
      <c r="D1714" t="n">
        <v>0</v>
      </c>
      <c r="E1714" t="s">
        <v>1724</v>
      </c>
      <c r="F1714" t="s"/>
      <c r="G1714" t="s"/>
      <c r="H1714" t="s"/>
      <c r="I1714" t="s"/>
      <c r="J1714" t="n">
        <v>0.7579</v>
      </c>
      <c r="K1714" t="n">
        <v>0.098</v>
      </c>
      <c r="L1714" t="n">
        <v>0.708</v>
      </c>
      <c r="M1714" t="n">
        <v>0.194</v>
      </c>
    </row>
    <row r="1715" spans="1:13">
      <c r="A1715" s="1">
        <f>HYPERLINK("http://www.twitter.com/NathanBLawrence/status/946747828575133696", "946747828575133696")</f>
        <v/>
      </c>
      <c r="B1715" s="2" t="n">
        <v>43098.59775462963</v>
      </c>
      <c r="C1715" t="n">
        <v>1</v>
      </c>
      <c r="D1715" t="n">
        <v>0</v>
      </c>
      <c r="E1715" t="s">
        <v>1725</v>
      </c>
      <c r="F1715" t="s"/>
      <c r="G1715" t="s"/>
      <c r="H1715" t="s"/>
      <c r="I1715" t="s"/>
      <c r="J1715" t="n">
        <v>0</v>
      </c>
      <c r="K1715" t="n">
        <v>0</v>
      </c>
      <c r="L1715" t="n">
        <v>1</v>
      </c>
      <c r="M1715" t="n">
        <v>0</v>
      </c>
    </row>
    <row r="1716" spans="1:13">
      <c r="A1716" s="1">
        <f>HYPERLINK("http://www.twitter.com/NathanBLawrence/status/946628429226573826", "946628429226573826")</f>
        <v/>
      </c>
      <c r="B1716" s="2" t="n">
        <v>43098.26827546296</v>
      </c>
      <c r="C1716" t="n">
        <v>1</v>
      </c>
      <c r="D1716" t="n">
        <v>1</v>
      </c>
      <c r="E1716" t="s">
        <v>1726</v>
      </c>
      <c r="F1716" t="s"/>
      <c r="G1716" t="s"/>
      <c r="H1716" t="s"/>
      <c r="I1716" t="s"/>
      <c r="J1716" t="n">
        <v>0.5859</v>
      </c>
      <c r="K1716" t="n">
        <v>0</v>
      </c>
      <c r="L1716" t="n">
        <v>0.696</v>
      </c>
      <c r="M1716" t="n">
        <v>0.304</v>
      </c>
    </row>
    <row r="1717" spans="1:13">
      <c r="A1717" s="1">
        <f>HYPERLINK("http://www.twitter.com/NathanBLawrence/status/946627866736955392", "946627866736955392")</f>
        <v/>
      </c>
      <c r="B1717" s="2" t="n">
        <v>43098.26672453704</v>
      </c>
      <c r="C1717" t="n">
        <v>1</v>
      </c>
      <c r="D1717" t="n">
        <v>1</v>
      </c>
      <c r="E1717" t="s">
        <v>1727</v>
      </c>
      <c r="F1717" t="s"/>
      <c r="G1717" t="s"/>
      <c r="H1717" t="s"/>
      <c r="I1717" t="s"/>
      <c r="J1717" t="n">
        <v>0.8391999999999999</v>
      </c>
      <c r="K1717" t="n">
        <v>0.051</v>
      </c>
      <c r="L1717" t="n">
        <v>0.715</v>
      </c>
      <c r="M1717" t="n">
        <v>0.234</v>
      </c>
    </row>
    <row r="1718" spans="1:13">
      <c r="A1718" s="1">
        <f>HYPERLINK("http://www.twitter.com/NathanBLawrence/status/946624537873059841", "946624537873059841")</f>
        <v/>
      </c>
      <c r="B1718" s="2" t="n">
        <v>43098.25753472222</v>
      </c>
      <c r="C1718" t="n">
        <v>1</v>
      </c>
      <c r="D1718" t="n">
        <v>0</v>
      </c>
      <c r="E1718" t="s">
        <v>1728</v>
      </c>
      <c r="F1718" t="s"/>
      <c r="G1718" t="s"/>
      <c r="H1718" t="s"/>
      <c r="I1718" t="s"/>
      <c r="J1718" t="n">
        <v>0</v>
      </c>
      <c r="K1718" t="n">
        <v>0</v>
      </c>
      <c r="L1718" t="n">
        <v>1</v>
      </c>
      <c r="M1718" t="n">
        <v>0</v>
      </c>
    </row>
    <row r="1719" spans="1:13">
      <c r="A1719" s="1">
        <f>HYPERLINK("http://www.twitter.com/NathanBLawrence/status/946562925531222016", "946562925531222016")</f>
        <v/>
      </c>
      <c r="B1719" s="2" t="n">
        <v>43098.08752314815</v>
      </c>
      <c r="C1719" t="n">
        <v>0</v>
      </c>
      <c r="D1719" t="n">
        <v>0</v>
      </c>
      <c r="E1719" t="s">
        <v>1729</v>
      </c>
      <c r="F1719" t="s"/>
      <c r="G1719" t="s"/>
      <c r="H1719" t="s"/>
      <c r="I1719" t="s"/>
      <c r="J1719" t="n">
        <v>0</v>
      </c>
      <c r="K1719" t="n">
        <v>0</v>
      </c>
      <c r="L1719" t="n">
        <v>1</v>
      </c>
      <c r="M1719" t="n">
        <v>0</v>
      </c>
    </row>
    <row r="1720" spans="1:13">
      <c r="A1720" s="1">
        <f>HYPERLINK("http://www.twitter.com/NathanBLawrence/status/946562356787720192", "946562356787720192")</f>
        <v/>
      </c>
      <c r="B1720" s="2" t="n">
        <v>43098.08594907408</v>
      </c>
      <c r="C1720" t="n">
        <v>0</v>
      </c>
      <c r="D1720" t="n">
        <v>0</v>
      </c>
      <c r="E1720" t="s">
        <v>1730</v>
      </c>
      <c r="F1720" t="s"/>
      <c r="G1720" t="s"/>
      <c r="H1720" t="s"/>
      <c r="I1720" t="s"/>
      <c r="J1720" t="n">
        <v>0.7236</v>
      </c>
      <c r="K1720" t="n">
        <v>0</v>
      </c>
      <c r="L1720" t="n">
        <v>0.645</v>
      </c>
      <c r="M1720" t="n">
        <v>0.355</v>
      </c>
    </row>
    <row r="1721" spans="1:13">
      <c r="A1721" s="1">
        <f>HYPERLINK("http://www.twitter.com/NathanBLawrence/status/946551164962820102", "946551164962820102")</f>
        <v/>
      </c>
      <c r="B1721" s="2" t="n">
        <v>43098.05506944445</v>
      </c>
      <c r="C1721" t="n">
        <v>1</v>
      </c>
      <c r="D1721" t="n">
        <v>0</v>
      </c>
      <c r="E1721" t="s">
        <v>1731</v>
      </c>
      <c r="F1721" t="s"/>
      <c r="G1721" t="s"/>
      <c r="H1721" t="s"/>
      <c r="I1721" t="s"/>
      <c r="J1721" t="n">
        <v>0.7482</v>
      </c>
      <c r="K1721" t="n">
        <v>0</v>
      </c>
      <c r="L1721" t="n">
        <v>0.427</v>
      </c>
      <c r="M1721" t="n">
        <v>0.573</v>
      </c>
    </row>
    <row r="1722" spans="1:13">
      <c r="A1722" s="1">
        <f>HYPERLINK("http://www.twitter.com/NathanBLawrence/status/946550597616066560", "946550597616066560")</f>
        <v/>
      </c>
      <c r="B1722" s="2" t="n">
        <v>43098.05350694444</v>
      </c>
      <c r="C1722" t="n">
        <v>0</v>
      </c>
      <c r="D1722" t="n">
        <v>0</v>
      </c>
      <c r="E1722" t="s">
        <v>1732</v>
      </c>
      <c r="F1722" t="s"/>
      <c r="G1722" t="s"/>
      <c r="H1722" t="s"/>
      <c r="I1722" t="s"/>
      <c r="J1722" t="n">
        <v>0.7067</v>
      </c>
      <c r="K1722" t="n">
        <v>0</v>
      </c>
      <c r="L1722" t="n">
        <v>0.552</v>
      </c>
      <c r="M1722" t="n">
        <v>0.448</v>
      </c>
    </row>
    <row r="1723" spans="1:13">
      <c r="A1723" s="1">
        <f>HYPERLINK("http://www.twitter.com/NathanBLawrence/status/946547790217383936", "946547790217383936")</f>
        <v/>
      </c>
      <c r="B1723" s="2" t="n">
        <v>43098.04575231481</v>
      </c>
      <c r="C1723" t="n">
        <v>1</v>
      </c>
      <c r="D1723" t="n">
        <v>0</v>
      </c>
      <c r="E1723" t="s">
        <v>1733</v>
      </c>
      <c r="F1723" t="s"/>
      <c r="G1723" t="s"/>
      <c r="H1723" t="s"/>
      <c r="I1723" t="s"/>
      <c r="J1723" t="n">
        <v>0</v>
      </c>
      <c r="K1723" t="n">
        <v>0</v>
      </c>
      <c r="L1723" t="n">
        <v>1</v>
      </c>
      <c r="M1723" t="n">
        <v>0</v>
      </c>
    </row>
    <row r="1724" spans="1:13">
      <c r="A1724" s="1">
        <f>HYPERLINK("http://www.twitter.com/NathanBLawrence/status/946522145278087170", "946522145278087170")</f>
        <v/>
      </c>
      <c r="B1724" s="2" t="n">
        <v>43097.97498842593</v>
      </c>
      <c r="C1724" t="n">
        <v>0</v>
      </c>
      <c r="D1724" t="n">
        <v>15172</v>
      </c>
      <c r="E1724" t="s">
        <v>1734</v>
      </c>
      <c r="F1724">
        <f>HYPERLINK("http://pbs.twimg.com/media/DSK2pluVAAAcN6N.jpg", "http://pbs.twimg.com/media/DSK2pluVAAAcN6N.jpg")</f>
        <v/>
      </c>
      <c r="G1724" t="s"/>
      <c r="H1724" t="s"/>
      <c r="I1724" t="s"/>
      <c r="J1724" t="n">
        <v>0.729</v>
      </c>
      <c r="K1724" t="n">
        <v>0</v>
      </c>
      <c r="L1724" t="n">
        <v>0.661</v>
      </c>
      <c r="M1724" t="n">
        <v>0.339</v>
      </c>
    </row>
    <row r="1725" spans="1:13">
      <c r="A1725" s="1">
        <f>HYPERLINK("http://www.twitter.com/NathanBLawrence/status/946424758169669632", "946424758169669632")</f>
        <v/>
      </c>
      <c r="B1725" s="2" t="n">
        <v>43097.70625</v>
      </c>
      <c r="C1725" t="n">
        <v>0</v>
      </c>
      <c r="D1725" t="n">
        <v>30788</v>
      </c>
      <c r="E1725" t="s">
        <v>1735</v>
      </c>
      <c r="F1725" t="s"/>
      <c r="G1725" t="s"/>
      <c r="H1725" t="s"/>
      <c r="I1725" t="s"/>
      <c r="J1725" t="n">
        <v>-0.5256</v>
      </c>
      <c r="K1725" t="n">
        <v>0.139</v>
      </c>
      <c r="L1725" t="n">
        <v>0.861</v>
      </c>
      <c r="M1725" t="n">
        <v>0</v>
      </c>
    </row>
    <row r="1726" spans="1:13">
      <c r="A1726" s="1">
        <f>HYPERLINK("http://www.twitter.com/NathanBLawrence/status/946417611520270336", "946417611520270336")</f>
        <v/>
      </c>
      <c r="B1726" s="2" t="n">
        <v>43097.68652777778</v>
      </c>
      <c r="C1726" t="n">
        <v>0</v>
      </c>
      <c r="D1726" t="n">
        <v>0</v>
      </c>
      <c r="E1726" t="s">
        <v>1736</v>
      </c>
      <c r="F1726" t="s"/>
      <c r="G1726" t="s"/>
      <c r="H1726" t="s"/>
      <c r="I1726" t="s"/>
      <c r="J1726" t="n">
        <v>-0.6204</v>
      </c>
      <c r="K1726" t="n">
        <v>0.15</v>
      </c>
      <c r="L1726" t="n">
        <v>0.85</v>
      </c>
      <c r="M1726" t="n">
        <v>0</v>
      </c>
    </row>
    <row r="1727" spans="1:13">
      <c r="A1727" s="1">
        <f>HYPERLINK("http://www.twitter.com/NathanBLawrence/status/946415746011234304", "946415746011234304")</f>
        <v/>
      </c>
      <c r="B1727" s="2" t="n">
        <v>43097.68138888889</v>
      </c>
      <c r="C1727" t="n">
        <v>0</v>
      </c>
      <c r="D1727" t="n">
        <v>20833</v>
      </c>
      <c r="E1727" t="s">
        <v>1737</v>
      </c>
      <c r="F1727" t="s"/>
      <c r="G1727" t="s"/>
      <c r="H1727" t="s"/>
      <c r="I1727" t="s"/>
      <c r="J1727" t="n">
        <v>0.4404</v>
      </c>
      <c r="K1727" t="n">
        <v>0</v>
      </c>
      <c r="L1727" t="n">
        <v>0.879</v>
      </c>
      <c r="M1727" t="n">
        <v>0.121</v>
      </c>
    </row>
    <row r="1728" spans="1:13">
      <c r="A1728" s="1">
        <f>HYPERLINK("http://www.twitter.com/NathanBLawrence/status/946414901551091713", "946414901551091713")</f>
        <v/>
      </c>
      <c r="B1728" s="2" t="n">
        <v>43097.67905092592</v>
      </c>
      <c r="C1728" t="n">
        <v>0</v>
      </c>
      <c r="D1728" t="n">
        <v>5839</v>
      </c>
      <c r="E1728" t="s">
        <v>1738</v>
      </c>
      <c r="F1728">
        <f>HYPERLINK("https://video.twimg.com/amplify_video/944613609132384256/vid/1280x720/XP-7jPhweawMLszl.mp4", "https://video.twimg.com/amplify_video/944613609132384256/vid/1280x720/XP-7jPhweawMLszl.mp4")</f>
        <v/>
      </c>
      <c r="G1728" t="s"/>
      <c r="H1728" t="s"/>
      <c r="I1728" t="s"/>
      <c r="J1728" t="n">
        <v>-0.6908</v>
      </c>
      <c r="K1728" t="n">
        <v>0.293</v>
      </c>
      <c r="L1728" t="n">
        <v>0.623</v>
      </c>
      <c r="M1728" t="n">
        <v>0.08400000000000001</v>
      </c>
    </row>
    <row r="1729" spans="1:13">
      <c r="A1729" s="1">
        <f>HYPERLINK("http://www.twitter.com/NathanBLawrence/status/946405999929372674", "946405999929372674")</f>
        <v/>
      </c>
      <c r="B1729" s="2" t="n">
        <v>43097.65449074074</v>
      </c>
      <c r="C1729" t="n">
        <v>0</v>
      </c>
      <c r="D1729" t="n">
        <v>0</v>
      </c>
      <c r="E1729" t="s">
        <v>1739</v>
      </c>
      <c r="F1729" t="s"/>
      <c r="G1729" t="s"/>
      <c r="H1729" t="s"/>
      <c r="I1729" t="s"/>
      <c r="J1729" t="n">
        <v>-0.4404</v>
      </c>
      <c r="K1729" t="n">
        <v>0.244</v>
      </c>
      <c r="L1729" t="n">
        <v>0.756</v>
      </c>
      <c r="M1729" t="n">
        <v>0</v>
      </c>
    </row>
    <row r="1730" spans="1:13">
      <c r="A1730" s="1">
        <f>HYPERLINK("http://www.twitter.com/NathanBLawrence/status/946405713022210048", "946405713022210048")</f>
        <v/>
      </c>
      <c r="B1730" s="2" t="n">
        <v>43097.65370370371</v>
      </c>
      <c r="C1730" t="n">
        <v>0</v>
      </c>
      <c r="D1730" t="n">
        <v>0</v>
      </c>
      <c r="E1730" t="s">
        <v>1740</v>
      </c>
      <c r="F1730" t="s"/>
      <c r="G1730" t="s"/>
      <c r="H1730" t="s"/>
      <c r="I1730" t="s"/>
      <c r="J1730" t="n">
        <v>-0.6981000000000001</v>
      </c>
      <c r="K1730" t="n">
        <v>0.303</v>
      </c>
      <c r="L1730" t="n">
        <v>0.697</v>
      </c>
      <c r="M1730" t="n">
        <v>0</v>
      </c>
    </row>
    <row r="1731" spans="1:13">
      <c r="A1731" s="1">
        <f>HYPERLINK("http://www.twitter.com/NathanBLawrence/status/946388971487195136", "946388971487195136")</f>
        <v/>
      </c>
      <c r="B1731" s="2" t="n">
        <v>43097.6075</v>
      </c>
      <c r="C1731" t="n">
        <v>4</v>
      </c>
      <c r="D1731" t="n">
        <v>0</v>
      </c>
      <c r="E1731" t="s">
        <v>1741</v>
      </c>
      <c r="F1731" t="s"/>
      <c r="G1731" t="s"/>
      <c r="H1731" t="s"/>
      <c r="I1731" t="s"/>
      <c r="J1731" t="n">
        <v>-0.2732</v>
      </c>
      <c r="K1731" t="n">
        <v>0.116</v>
      </c>
      <c r="L1731" t="n">
        <v>0.884</v>
      </c>
      <c r="M1731" t="n">
        <v>0</v>
      </c>
    </row>
    <row r="1732" spans="1:13">
      <c r="A1732" s="1">
        <f>HYPERLINK("http://www.twitter.com/NathanBLawrence/status/946381703639195649", "946381703639195649")</f>
        <v/>
      </c>
      <c r="B1732" s="2" t="n">
        <v>43097.58744212963</v>
      </c>
      <c r="C1732" t="n">
        <v>1</v>
      </c>
      <c r="D1732" t="n">
        <v>1</v>
      </c>
      <c r="E1732" t="s">
        <v>1742</v>
      </c>
      <c r="F1732" t="s"/>
      <c r="G1732" t="s"/>
      <c r="H1732" t="s"/>
      <c r="I1732" t="s"/>
      <c r="J1732" t="n">
        <v>0.128</v>
      </c>
      <c r="K1732" t="n">
        <v>0</v>
      </c>
      <c r="L1732" t="n">
        <v>0.8</v>
      </c>
      <c r="M1732" t="n">
        <v>0.2</v>
      </c>
    </row>
    <row r="1733" spans="1:13">
      <c r="A1733" s="1">
        <f>HYPERLINK("http://www.twitter.com/NathanBLawrence/status/946381127744413696", "946381127744413696")</f>
        <v/>
      </c>
      <c r="B1733" s="2" t="n">
        <v>43097.58585648148</v>
      </c>
      <c r="C1733" t="n">
        <v>3</v>
      </c>
      <c r="D1733" t="n">
        <v>2</v>
      </c>
      <c r="E1733" t="s">
        <v>1743</v>
      </c>
      <c r="F1733" t="s"/>
      <c r="G1733" t="s"/>
      <c r="H1733" t="s"/>
      <c r="I1733" t="s"/>
      <c r="J1733" t="n">
        <v>-0.3818</v>
      </c>
      <c r="K1733" t="n">
        <v>0.183</v>
      </c>
      <c r="L1733" t="n">
        <v>0.8169999999999999</v>
      </c>
      <c r="M1733" t="n">
        <v>0</v>
      </c>
    </row>
    <row r="1734" spans="1:13">
      <c r="A1734" s="1">
        <f>HYPERLINK("http://www.twitter.com/NathanBLawrence/status/946376546973028354", "946376546973028354")</f>
        <v/>
      </c>
      <c r="B1734" s="2" t="n">
        <v>43097.5732175926</v>
      </c>
      <c r="C1734" t="n">
        <v>0</v>
      </c>
      <c r="D1734" t="n">
        <v>200</v>
      </c>
      <c r="E1734" t="s">
        <v>1744</v>
      </c>
      <c r="F1734">
        <f>HYPERLINK("http://pbs.twimg.com/media/DRVtWVsWAAYSVNW.png", "http://pbs.twimg.com/media/DRVtWVsWAAYSVNW.png")</f>
        <v/>
      </c>
      <c r="G1734" t="s"/>
      <c r="H1734" t="s"/>
      <c r="I1734" t="s"/>
      <c r="J1734" t="n">
        <v>-0.128</v>
      </c>
      <c r="K1734" t="n">
        <v>0.147</v>
      </c>
      <c r="L1734" t="n">
        <v>0.728</v>
      </c>
      <c r="M1734" t="n">
        <v>0.126</v>
      </c>
    </row>
    <row r="1735" spans="1:13">
      <c r="A1735" s="1">
        <f>HYPERLINK("http://www.twitter.com/NathanBLawrence/status/946054615203811328", "946054615203811328")</f>
        <v/>
      </c>
      <c r="B1735" s="2" t="n">
        <v>43096.68484953704</v>
      </c>
      <c r="C1735" t="n">
        <v>0</v>
      </c>
      <c r="D1735" t="n">
        <v>4</v>
      </c>
      <c r="E1735" t="s">
        <v>1745</v>
      </c>
      <c r="F1735" t="s"/>
      <c r="G1735" t="s"/>
      <c r="H1735" t="s"/>
      <c r="I1735" t="s"/>
      <c r="J1735" t="n">
        <v>0</v>
      </c>
      <c r="K1735" t="n">
        <v>0</v>
      </c>
      <c r="L1735" t="n">
        <v>1</v>
      </c>
      <c r="M1735" t="n">
        <v>0</v>
      </c>
    </row>
    <row r="1736" spans="1:13">
      <c r="A1736" s="1">
        <f>HYPERLINK("http://www.twitter.com/NathanBLawrence/status/946047469900713984", "946047469900713984")</f>
        <v/>
      </c>
      <c r="B1736" s="2" t="n">
        <v>43096.66513888889</v>
      </c>
      <c r="C1736" t="n">
        <v>23</v>
      </c>
      <c r="D1736" t="n">
        <v>5</v>
      </c>
      <c r="E1736" t="s">
        <v>1746</v>
      </c>
      <c r="F1736" t="s"/>
      <c r="G1736" t="s"/>
      <c r="H1736" t="s"/>
      <c r="I1736" t="s"/>
      <c r="J1736" t="n">
        <v>-0.1027</v>
      </c>
      <c r="K1736" t="n">
        <v>0.062</v>
      </c>
      <c r="L1736" t="n">
        <v>0.9379999999999999</v>
      </c>
      <c r="M1736" t="n">
        <v>0</v>
      </c>
    </row>
    <row r="1737" spans="1:13">
      <c r="A1737" s="1">
        <f>HYPERLINK("http://www.twitter.com/NathanBLawrence/status/945979104658063360", "945979104658063360")</f>
        <v/>
      </c>
      <c r="B1737" s="2" t="n">
        <v>43096.47648148148</v>
      </c>
      <c r="C1737" t="n">
        <v>2</v>
      </c>
      <c r="D1737" t="n">
        <v>2</v>
      </c>
      <c r="E1737" t="s">
        <v>1747</v>
      </c>
      <c r="F1737" t="s"/>
      <c r="G1737" t="s"/>
      <c r="H1737" t="s"/>
      <c r="I1737" t="s"/>
      <c r="J1737" t="n">
        <v>0.4404</v>
      </c>
      <c r="K1737" t="n">
        <v>0</v>
      </c>
      <c r="L1737" t="n">
        <v>0.674</v>
      </c>
      <c r="M1737" t="n">
        <v>0.326</v>
      </c>
    </row>
    <row r="1738" spans="1:13">
      <c r="A1738" s="1">
        <f>HYPERLINK("http://www.twitter.com/NathanBLawrence/status/945746949612933120", "945746949612933120")</f>
        <v/>
      </c>
      <c r="B1738" s="2" t="n">
        <v>43095.83585648148</v>
      </c>
      <c r="C1738" t="n">
        <v>0</v>
      </c>
      <c r="D1738" t="n">
        <v>0</v>
      </c>
      <c r="E1738" t="s">
        <v>1748</v>
      </c>
      <c r="F1738" t="s"/>
      <c r="G1738" t="s"/>
      <c r="H1738" t="s"/>
      <c r="I1738" t="s"/>
      <c r="J1738" t="n">
        <v>0.6369</v>
      </c>
      <c r="K1738" t="n">
        <v>0</v>
      </c>
      <c r="L1738" t="n">
        <v>0.588</v>
      </c>
      <c r="M1738" t="n">
        <v>0.412</v>
      </c>
    </row>
    <row r="1739" spans="1:13">
      <c r="A1739" s="1">
        <f>HYPERLINK("http://www.twitter.com/NathanBLawrence/status/945714188437151745", "945714188437151745")</f>
        <v/>
      </c>
      <c r="B1739" s="2" t="n">
        <v>43095.74545138889</v>
      </c>
      <c r="C1739" t="n">
        <v>11</v>
      </c>
      <c r="D1739" t="n">
        <v>4</v>
      </c>
      <c r="E1739" t="s">
        <v>1749</v>
      </c>
      <c r="F1739" t="s"/>
      <c r="G1739" t="s"/>
      <c r="H1739" t="s"/>
      <c r="I1739" t="s"/>
      <c r="J1739" t="n">
        <v>-0.5207000000000001</v>
      </c>
      <c r="K1739" t="n">
        <v>0.257</v>
      </c>
      <c r="L1739" t="n">
        <v>0.591</v>
      </c>
      <c r="M1739" t="n">
        <v>0.152</v>
      </c>
    </row>
    <row r="1740" spans="1:13">
      <c r="A1740" s="1">
        <f>HYPERLINK("http://www.twitter.com/NathanBLawrence/status/945134556843249664", "945134556843249664")</f>
        <v/>
      </c>
      <c r="B1740" s="2" t="n">
        <v>43094.14597222222</v>
      </c>
      <c r="C1740" t="n">
        <v>0</v>
      </c>
      <c r="D1740" t="n">
        <v>573</v>
      </c>
      <c r="E1740" t="s">
        <v>1750</v>
      </c>
      <c r="F1740" t="s"/>
      <c r="G1740" t="s"/>
      <c r="H1740" t="s"/>
      <c r="I1740" t="s"/>
      <c r="J1740" t="n">
        <v>0.9451000000000001</v>
      </c>
      <c r="K1740" t="n">
        <v>0</v>
      </c>
      <c r="L1740" t="n">
        <v>0.54</v>
      </c>
      <c r="M1740" t="n">
        <v>0.46</v>
      </c>
    </row>
    <row r="1741" spans="1:13">
      <c r="A1741" s="1">
        <f>HYPERLINK("http://www.twitter.com/NathanBLawrence/status/945128611970977792", "945128611970977792")</f>
        <v/>
      </c>
      <c r="B1741" s="2" t="n">
        <v>43094.12957175926</v>
      </c>
      <c r="C1741" t="n">
        <v>0</v>
      </c>
      <c r="D1741" t="n">
        <v>0</v>
      </c>
      <c r="E1741" t="s">
        <v>1751</v>
      </c>
      <c r="F1741" t="s"/>
      <c r="G1741" t="s"/>
      <c r="H1741" t="s"/>
      <c r="I1741" t="s"/>
      <c r="J1741" t="n">
        <v>0.7405</v>
      </c>
      <c r="K1741" t="n">
        <v>0</v>
      </c>
      <c r="L1741" t="n">
        <v>0.571</v>
      </c>
      <c r="M1741" t="n">
        <v>0.429</v>
      </c>
    </row>
    <row r="1742" spans="1:13">
      <c r="A1742" s="1">
        <f>HYPERLINK("http://www.twitter.com/NathanBLawrence/status/944939283508551680", "944939283508551680")</f>
        <v/>
      </c>
      <c r="B1742" s="2" t="n">
        <v>43093.60711805556</v>
      </c>
      <c r="C1742" t="n">
        <v>0</v>
      </c>
      <c r="D1742" t="n">
        <v>31712</v>
      </c>
      <c r="E1742" t="s">
        <v>1752</v>
      </c>
      <c r="F1742" t="s"/>
      <c r="G1742" t="s"/>
      <c r="H1742" t="s"/>
      <c r="I1742" t="s"/>
      <c r="J1742" t="n">
        <v>-0.1027</v>
      </c>
      <c r="K1742" t="n">
        <v>0.182</v>
      </c>
      <c r="L1742" t="n">
        <v>0.647</v>
      </c>
      <c r="M1742" t="n">
        <v>0.171</v>
      </c>
    </row>
    <row r="1743" spans="1:13">
      <c r="A1743" s="1">
        <f>HYPERLINK("http://www.twitter.com/NathanBLawrence/status/944354340294205440", "944354340294205440")</f>
        <v/>
      </c>
      <c r="B1743" s="2" t="n">
        <v>43091.99298611111</v>
      </c>
      <c r="C1743" t="n">
        <v>0</v>
      </c>
      <c r="D1743" t="n">
        <v>0</v>
      </c>
      <c r="E1743" t="s">
        <v>1753</v>
      </c>
      <c r="F1743" t="s"/>
      <c r="G1743" t="s"/>
      <c r="H1743" t="s"/>
      <c r="I1743" t="s"/>
      <c r="J1743" t="n">
        <v>0</v>
      </c>
      <c r="K1743" t="n">
        <v>0</v>
      </c>
      <c r="L1743" t="n">
        <v>1</v>
      </c>
      <c r="M1743" t="n">
        <v>0</v>
      </c>
    </row>
    <row r="1744" spans="1:13">
      <c r="A1744" s="1">
        <f>HYPERLINK("http://www.twitter.com/NathanBLawrence/status/944338560567652358", "944338560567652358")</f>
        <v/>
      </c>
      <c r="B1744" s="2" t="n">
        <v>43091.94944444444</v>
      </c>
      <c r="C1744" t="n">
        <v>0</v>
      </c>
      <c r="D1744" t="n">
        <v>15328</v>
      </c>
      <c r="E1744" t="s">
        <v>1754</v>
      </c>
      <c r="F1744">
        <f>HYPERLINK("https://video.twimg.com/amplify_video/944302485337817088/vid/1280x720/icdnk37Qk80w-fkU.mp4", "https://video.twimg.com/amplify_video/944302485337817088/vid/1280x720/icdnk37Qk80w-fkU.mp4")</f>
        <v/>
      </c>
      <c r="G1744" t="s"/>
      <c r="H1744" t="s"/>
      <c r="I1744" t="s"/>
      <c r="J1744" t="n">
        <v>0.6561</v>
      </c>
      <c r="K1744" t="n">
        <v>0.091</v>
      </c>
      <c r="L1744" t="n">
        <v>0.6830000000000001</v>
      </c>
      <c r="M1744" t="n">
        <v>0.226</v>
      </c>
    </row>
    <row r="1745" spans="1:13">
      <c r="A1745" s="1">
        <f>HYPERLINK("http://www.twitter.com/NathanBLawrence/status/944338195172470784", "944338195172470784")</f>
        <v/>
      </c>
      <c r="B1745" s="2" t="n">
        <v>43091.9484375</v>
      </c>
      <c r="C1745" t="n">
        <v>0</v>
      </c>
      <c r="D1745" t="n">
        <v>20724</v>
      </c>
      <c r="E1745" t="s">
        <v>1755</v>
      </c>
      <c r="F1745" t="s"/>
      <c r="G1745" t="s"/>
      <c r="H1745" t="s"/>
      <c r="I1745" t="s"/>
      <c r="J1745" t="n">
        <v>-0.6041</v>
      </c>
      <c r="K1745" t="n">
        <v>0.177</v>
      </c>
      <c r="L1745" t="n">
        <v>0.779</v>
      </c>
      <c r="M1745" t="n">
        <v>0.044</v>
      </c>
    </row>
    <row r="1746" spans="1:13">
      <c r="A1746" s="1">
        <f>HYPERLINK("http://www.twitter.com/NathanBLawrence/status/944337913852153856", "944337913852153856")</f>
        <v/>
      </c>
      <c r="B1746" s="2" t="n">
        <v>43091.94766203704</v>
      </c>
      <c r="C1746" t="n">
        <v>0</v>
      </c>
      <c r="D1746" t="n">
        <v>18370</v>
      </c>
      <c r="E1746" t="s">
        <v>1756</v>
      </c>
      <c r="F1746" t="s"/>
      <c r="G1746" t="s"/>
      <c r="H1746" t="s"/>
      <c r="I1746" t="s"/>
      <c r="J1746" t="n">
        <v>0.7845</v>
      </c>
      <c r="K1746" t="n">
        <v>0</v>
      </c>
      <c r="L1746" t="n">
        <v>0.706</v>
      </c>
      <c r="M1746" t="n">
        <v>0.294</v>
      </c>
    </row>
    <row r="1747" spans="1:13">
      <c r="A1747" s="1">
        <f>HYPERLINK("http://www.twitter.com/NathanBLawrence/status/944337606950752256", "944337606950752256")</f>
        <v/>
      </c>
      <c r="B1747" s="2" t="n">
        <v>43091.94681712963</v>
      </c>
      <c r="C1747" t="n">
        <v>0</v>
      </c>
      <c r="D1747" t="n">
        <v>24526</v>
      </c>
      <c r="E1747" t="s">
        <v>1757</v>
      </c>
      <c r="F1747" t="s"/>
      <c r="G1747" t="s"/>
      <c r="H1747" t="s"/>
      <c r="I1747" t="s"/>
      <c r="J1747" t="n">
        <v>-0.6697</v>
      </c>
      <c r="K1747" t="n">
        <v>0.183</v>
      </c>
      <c r="L1747" t="n">
        <v>0.8169999999999999</v>
      </c>
      <c r="M1747" t="n">
        <v>0</v>
      </c>
    </row>
    <row r="1748" spans="1:13">
      <c r="A1748" s="1">
        <f>HYPERLINK("http://www.twitter.com/NathanBLawrence/status/944286232850456576", "944286232850456576")</f>
        <v/>
      </c>
      <c r="B1748" s="2" t="n">
        <v>43091.80504629629</v>
      </c>
      <c r="C1748" t="n">
        <v>1</v>
      </c>
      <c r="D1748" t="n">
        <v>0</v>
      </c>
      <c r="E1748" t="s">
        <v>1758</v>
      </c>
      <c r="F1748" t="s"/>
      <c r="G1748" t="s"/>
      <c r="H1748" t="s"/>
      <c r="I1748" t="s"/>
      <c r="J1748" t="n">
        <v>0.5684</v>
      </c>
      <c r="K1748" t="n">
        <v>0</v>
      </c>
      <c r="L1748" t="n">
        <v>0.656</v>
      </c>
      <c r="M1748" t="n">
        <v>0.344</v>
      </c>
    </row>
    <row r="1749" spans="1:13">
      <c r="A1749" s="1">
        <f>HYPERLINK("http://www.twitter.com/NathanBLawrence/status/944238701248438272", "944238701248438272")</f>
        <v/>
      </c>
      <c r="B1749" s="2" t="n">
        <v>43091.67388888889</v>
      </c>
      <c r="C1749" t="n">
        <v>0</v>
      </c>
      <c r="D1749" t="n">
        <v>21351</v>
      </c>
      <c r="E1749" t="s">
        <v>1759</v>
      </c>
      <c r="F1749" t="s"/>
      <c r="G1749" t="s"/>
      <c r="H1749" t="s"/>
      <c r="I1749" t="s"/>
      <c r="J1749" t="n">
        <v>0.1851</v>
      </c>
      <c r="K1749" t="n">
        <v>0.083</v>
      </c>
      <c r="L1749" t="n">
        <v>0.8080000000000001</v>
      </c>
      <c r="M1749" t="n">
        <v>0.109</v>
      </c>
    </row>
    <row r="1750" spans="1:13">
      <c r="A1750" s="1">
        <f>HYPERLINK("http://www.twitter.com/NathanBLawrence/status/944238647070613506", "944238647070613506")</f>
        <v/>
      </c>
      <c r="B1750" s="2" t="n">
        <v>43091.67373842592</v>
      </c>
      <c r="C1750" t="n">
        <v>0</v>
      </c>
      <c r="D1750" t="n">
        <v>26769</v>
      </c>
      <c r="E1750" t="s">
        <v>1760</v>
      </c>
      <c r="F1750" t="s"/>
      <c r="G1750" t="s"/>
      <c r="H1750" t="s"/>
      <c r="I1750" t="s"/>
      <c r="J1750" t="n">
        <v>0.4404</v>
      </c>
      <c r="K1750" t="n">
        <v>0</v>
      </c>
      <c r="L1750" t="n">
        <v>0.884</v>
      </c>
      <c r="M1750" t="n">
        <v>0.116</v>
      </c>
    </row>
    <row r="1751" spans="1:13">
      <c r="A1751" s="1">
        <f>HYPERLINK("http://www.twitter.com/NathanBLawrence/status/944238626942177280", "944238626942177280")</f>
        <v/>
      </c>
      <c r="B1751" s="2" t="n">
        <v>43091.67368055556</v>
      </c>
      <c r="C1751" t="n">
        <v>0</v>
      </c>
      <c r="D1751" t="n">
        <v>18153</v>
      </c>
      <c r="E1751" t="s">
        <v>1761</v>
      </c>
      <c r="F1751" t="s"/>
      <c r="G1751" t="s"/>
      <c r="H1751" t="s"/>
      <c r="I1751" t="s"/>
      <c r="J1751" t="n">
        <v>0.6597</v>
      </c>
      <c r="K1751" t="n">
        <v>0</v>
      </c>
      <c r="L1751" t="n">
        <v>0.769</v>
      </c>
      <c r="M1751" t="n">
        <v>0.231</v>
      </c>
    </row>
    <row r="1752" spans="1:13">
      <c r="A1752" s="1">
        <f>HYPERLINK("http://www.twitter.com/NathanBLawrence/status/944238551281135617", "944238551281135617")</f>
        <v/>
      </c>
      <c r="B1752" s="2" t="n">
        <v>43091.67347222222</v>
      </c>
      <c r="C1752" t="n">
        <v>0</v>
      </c>
      <c r="D1752" t="n">
        <v>18545</v>
      </c>
      <c r="E1752" t="s">
        <v>1762</v>
      </c>
      <c r="F1752" t="s"/>
      <c r="G1752" t="s"/>
      <c r="H1752" t="s"/>
      <c r="I1752" t="s"/>
      <c r="J1752" t="n">
        <v>-0.2732</v>
      </c>
      <c r="K1752" t="n">
        <v>0.08</v>
      </c>
      <c r="L1752" t="n">
        <v>0.92</v>
      </c>
      <c r="M1752" t="n">
        <v>0</v>
      </c>
    </row>
    <row r="1753" spans="1:13">
      <c r="A1753" s="1">
        <f>HYPERLINK("http://www.twitter.com/NathanBLawrence/status/944053823894622208", "944053823894622208")</f>
        <v/>
      </c>
      <c r="B1753" s="2" t="n">
        <v>43091.16371527778</v>
      </c>
      <c r="C1753" t="n">
        <v>0</v>
      </c>
      <c r="D1753" t="n">
        <v>0</v>
      </c>
      <c r="E1753" t="s">
        <v>1763</v>
      </c>
      <c r="F1753" t="s"/>
      <c r="G1753" t="s"/>
      <c r="H1753" t="s"/>
      <c r="I1753" t="s"/>
      <c r="J1753" t="n">
        <v>0</v>
      </c>
      <c r="K1753" t="n">
        <v>0</v>
      </c>
      <c r="L1753" t="n">
        <v>1</v>
      </c>
      <c r="M1753" t="n">
        <v>0</v>
      </c>
    </row>
    <row r="1754" spans="1:13">
      <c r="A1754" s="1">
        <f>HYPERLINK("http://www.twitter.com/NathanBLawrence/status/943969672235450368", "943969672235450368")</f>
        <v/>
      </c>
      <c r="B1754" s="2" t="n">
        <v>43090.93150462963</v>
      </c>
      <c r="C1754" t="n">
        <v>1</v>
      </c>
      <c r="D1754" t="n">
        <v>0</v>
      </c>
      <c r="E1754" t="s">
        <v>1764</v>
      </c>
      <c r="F1754" t="s"/>
      <c r="G1754" t="s"/>
      <c r="H1754" t="s"/>
      <c r="I1754" t="s"/>
      <c r="J1754" t="n">
        <v>0.3565</v>
      </c>
      <c r="K1754" t="n">
        <v>0.176</v>
      </c>
      <c r="L1754" t="n">
        <v>0.433</v>
      </c>
      <c r="M1754" t="n">
        <v>0.391</v>
      </c>
    </row>
    <row r="1755" spans="1:13">
      <c r="A1755" s="1">
        <f>HYPERLINK("http://www.twitter.com/NathanBLawrence/status/943930286047481856", "943930286047481856")</f>
        <v/>
      </c>
      <c r="B1755" s="2" t="n">
        <v>43090.82282407407</v>
      </c>
      <c r="C1755" t="n">
        <v>2</v>
      </c>
      <c r="D1755" t="n">
        <v>0</v>
      </c>
      <c r="E1755" t="s">
        <v>1765</v>
      </c>
      <c r="F1755" t="s"/>
      <c r="G1755" t="s"/>
      <c r="H1755" t="s"/>
      <c r="I1755" t="s"/>
      <c r="J1755" t="n">
        <v>0</v>
      </c>
      <c r="K1755" t="n">
        <v>0</v>
      </c>
      <c r="L1755" t="n">
        <v>1</v>
      </c>
      <c r="M1755" t="n">
        <v>0</v>
      </c>
    </row>
    <row r="1756" spans="1:13">
      <c r="A1756" s="1">
        <f>HYPERLINK("http://www.twitter.com/NathanBLawrence/status/943895358966587393", "943895358966587393")</f>
        <v/>
      </c>
      <c r="B1756" s="2" t="n">
        <v>43090.72643518518</v>
      </c>
      <c r="C1756" t="n">
        <v>0</v>
      </c>
      <c r="D1756" t="n">
        <v>0</v>
      </c>
      <c r="E1756" t="s">
        <v>1766</v>
      </c>
      <c r="F1756" t="s"/>
      <c r="G1756" t="s"/>
      <c r="H1756" t="s"/>
      <c r="I1756" t="s"/>
      <c r="J1756" t="n">
        <v>0.34</v>
      </c>
      <c r="K1756" t="n">
        <v>0</v>
      </c>
      <c r="L1756" t="n">
        <v>0.806</v>
      </c>
      <c r="M1756" t="n">
        <v>0.194</v>
      </c>
    </row>
    <row r="1757" spans="1:13">
      <c r="A1757" s="1">
        <f>HYPERLINK("http://www.twitter.com/NathanBLawrence/status/943887320595488770", "943887320595488770")</f>
        <v/>
      </c>
      <c r="B1757" s="2" t="n">
        <v>43090.70425925926</v>
      </c>
      <c r="C1757" t="n">
        <v>0</v>
      </c>
      <c r="D1757" t="n">
        <v>19996</v>
      </c>
      <c r="E1757" t="s">
        <v>1767</v>
      </c>
      <c r="F1757" t="s"/>
      <c r="G1757" t="s"/>
      <c r="H1757" t="s"/>
      <c r="I1757" t="s"/>
      <c r="J1757" t="n">
        <v>0.3804</v>
      </c>
      <c r="K1757" t="n">
        <v>0.155</v>
      </c>
      <c r="L1757" t="n">
        <v>0.599</v>
      </c>
      <c r="M1757" t="n">
        <v>0.246</v>
      </c>
    </row>
    <row r="1758" spans="1:13">
      <c r="A1758" s="1">
        <f>HYPERLINK("http://www.twitter.com/NathanBLawrence/status/943856764746960896", "943856764746960896")</f>
        <v/>
      </c>
      <c r="B1758" s="2" t="n">
        <v>43090.61994212963</v>
      </c>
      <c r="C1758" t="n">
        <v>0</v>
      </c>
      <c r="D1758" t="n">
        <v>13898</v>
      </c>
      <c r="E1758" t="s">
        <v>1768</v>
      </c>
      <c r="F1758" t="s"/>
      <c r="G1758" t="s"/>
      <c r="H1758" t="s"/>
      <c r="I1758" t="s"/>
      <c r="J1758" t="n">
        <v>0.3535</v>
      </c>
      <c r="K1758" t="n">
        <v>0.076</v>
      </c>
      <c r="L1758" t="n">
        <v>0.795</v>
      </c>
      <c r="M1758" t="n">
        <v>0.129</v>
      </c>
    </row>
    <row r="1759" spans="1:13">
      <c r="A1759" s="1">
        <f>HYPERLINK("http://www.twitter.com/NathanBLawrence/status/943846164323020801", "943846164323020801")</f>
        <v/>
      </c>
      <c r="B1759" s="2" t="n">
        <v>43090.59069444444</v>
      </c>
      <c r="C1759" t="n">
        <v>0</v>
      </c>
      <c r="D1759" t="n">
        <v>17546</v>
      </c>
      <c r="E1759" t="s">
        <v>1769</v>
      </c>
      <c r="F1759" t="s"/>
      <c r="G1759" t="s"/>
      <c r="H1759" t="s"/>
      <c r="I1759" t="s"/>
      <c r="J1759" t="n">
        <v>0.9013</v>
      </c>
      <c r="K1759" t="n">
        <v>0</v>
      </c>
      <c r="L1759" t="n">
        <v>0.544</v>
      </c>
      <c r="M1759" t="n">
        <v>0.456</v>
      </c>
    </row>
    <row r="1760" spans="1:13">
      <c r="A1760" s="1">
        <f>HYPERLINK("http://www.twitter.com/NathanBLawrence/status/943843963395559424", "943843963395559424")</f>
        <v/>
      </c>
      <c r="B1760" s="2" t="n">
        <v>43090.58461805555</v>
      </c>
      <c r="C1760" t="n">
        <v>0</v>
      </c>
      <c r="D1760" t="n">
        <v>24621</v>
      </c>
      <c r="E1760" t="s">
        <v>1770</v>
      </c>
      <c r="F1760" t="s"/>
      <c r="G1760" t="s"/>
      <c r="H1760" t="s"/>
      <c r="I1760" t="s"/>
      <c r="J1760" t="n">
        <v>-0.7984</v>
      </c>
      <c r="K1760" t="n">
        <v>0.332</v>
      </c>
      <c r="L1760" t="n">
        <v>0.589</v>
      </c>
      <c r="M1760" t="n">
        <v>0.079</v>
      </c>
    </row>
    <row r="1761" spans="1:13">
      <c r="A1761" s="1">
        <f>HYPERLINK("http://www.twitter.com/NathanBLawrence/status/943842913984958465", "943842913984958465")</f>
        <v/>
      </c>
      <c r="B1761" s="2" t="n">
        <v>43090.58172453703</v>
      </c>
      <c r="C1761" t="n">
        <v>0</v>
      </c>
      <c r="D1761" t="n">
        <v>18473</v>
      </c>
      <c r="E1761" t="s">
        <v>1771</v>
      </c>
      <c r="F1761" t="s"/>
      <c r="G1761" t="s"/>
      <c r="H1761" t="s"/>
      <c r="I1761" t="s"/>
      <c r="J1761" t="n">
        <v>0.6689000000000001</v>
      </c>
      <c r="K1761" t="n">
        <v>0.104</v>
      </c>
      <c r="L1761" t="n">
        <v>0.64</v>
      </c>
      <c r="M1761" t="n">
        <v>0.256</v>
      </c>
    </row>
    <row r="1762" spans="1:13">
      <c r="A1762" s="1">
        <f>HYPERLINK("http://www.twitter.com/NathanBLawrence/status/943706560597057537", "943706560597057537")</f>
        <v/>
      </c>
      <c r="B1762" s="2" t="n">
        <v>43090.20545138889</v>
      </c>
      <c r="C1762" t="n">
        <v>0</v>
      </c>
      <c r="D1762" t="n">
        <v>23270</v>
      </c>
      <c r="E1762" t="s">
        <v>1772</v>
      </c>
      <c r="F1762">
        <f>HYPERLINK("https://video.twimg.com/amplify_video/943592926541746178/vid/1280x720/o_ii3oazbObvzzle.mp4", "https://video.twimg.com/amplify_video/943592926541746178/vid/1280x720/o_ii3oazbObvzzle.mp4")</f>
        <v/>
      </c>
      <c r="G1762" t="s"/>
      <c r="H1762" t="s"/>
      <c r="I1762" t="s"/>
      <c r="J1762" t="n">
        <v>0.729</v>
      </c>
      <c r="K1762" t="n">
        <v>0</v>
      </c>
      <c r="L1762" t="n">
        <v>0.61</v>
      </c>
      <c r="M1762" t="n">
        <v>0.39</v>
      </c>
    </row>
    <row r="1763" spans="1:13">
      <c r="A1763" s="1">
        <f>HYPERLINK("http://www.twitter.com/NathanBLawrence/status/943680472193761280", "943680472193761280")</f>
        <v/>
      </c>
      <c r="B1763" s="2" t="n">
        <v>43090.13346064815</v>
      </c>
      <c r="C1763" t="n">
        <v>5</v>
      </c>
      <c r="D1763" t="n">
        <v>1</v>
      </c>
      <c r="E1763" t="s">
        <v>1773</v>
      </c>
      <c r="F1763" t="s"/>
      <c r="G1763" t="s"/>
      <c r="H1763" t="s"/>
      <c r="I1763" t="s"/>
      <c r="J1763" t="n">
        <v>0.7003</v>
      </c>
      <c r="K1763" t="n">
        <v>0</v>
      </c>
      <c r="L1763" t="n">
        <v>0.756</v>
      </c>
      <c r="M1763" t="n">
        <v>0.244</v>
      </c>
    </row>
    <row r="1764" spans="1:13">
      <c r="A1764" s="1">
        <f>HYPERLINK("http://www.twitter.com/NathanBLawrence/status/943680067401670656", "943680067401670656")</f>
        <v/>
      </c>
      <c r="B1764" s="2" t="n">
        <v>43090.13234953704</v>
      </c>
      <c r="C1764" t="n">
        <v>0</v>
      </c>
      <c r="D1764" t="n">
        <v>0</v>
      </c>
      <c r="E1764" t="s">
        <v>1774</v>
      </c>
      <c r="F1764" t="s"/>
      <c r="G1764" t="s"/>
      <c r="H1764" t="s"/>
      <c r="I1764" t="s"/>
      <c r="J1764" t="n">
        <v>0</v>
      </c>
      <c r="K1764" t="n">
        <v>0</v>
      </c>
      <c r="L1764" t="n">
        <v>1</v>
      </c>
      <c r="M1764" t="n">
        <v>0</v>
      </c>
    </row>
    <row r="1765" spans="1:13">
      <c r="A1765" s="1">
        <f>HYPERLINK("http://www.twitter.com/NathanBLawrence/status/943677025734287360", "943677025734287360")</f>
        <v/>
      </c>
      <c r="B1765" s="2" t="n">
        <v>43090.12395833333</v>
      </c>
      <c r="C1765" t="n">
        <v>1</v>
      </c>
      <c r="D1765" t="n">
        <v>0</v>
      </c>
      <c r="E1765" t="s">
        <v>1775</v>
      </c>
      <c r="F1765" t="s"/>
      <c r="G1765" t="s"/>
      <c r="H1765" t="s"/>
      <c r="I1765" t="s"/>
      <c r="J1765" t="n">
        <v>0.6114000000000001</v>
      </c>
      <c r="K1765" t="n">
        <v>0</v>
      </c>
      <c r="L1765" t="n">
        <v>0.667</v>
      </c>
      <c r="M1765" t="n">
        <v>0.333</v>
      </c>
    </row>
    <row r="1766" spans="1:13">
      <c r="A1766" s="1">
        <f>HYPERLINK("http://www.twitter.com/NathanBLawrence/status/943547099496484864", "943547099496484864")</f>
        <v/>
      </c>
      <c r="B1766" s="2" t="n">
        <v>43089.76542824074</v>
      </c>
      <c r="C1766" t="n">
        <v>0</v>
      </c>
      <c r="D1766" t="n">
        <v>0</v>
      </c>
      <c r="E1766" t="s">
        <v>1776</v>
      </c>
      <c r="F1766" t="s"/>
      <c r="G1766" t="s"/>
      <c r="H1766" t="s"/>
      <c r="I1766" t="s"/>
      <c r="J1766" t="n">
        <v>0.3612</v>
      </c>
      <c r="K1766" t="n">
        <v>0</v>
      </c>
      <c r="L1766" t="n">
        <v>0.667</v>
      </c>
      <c r="M1766" t="n">
        <v>0.333</v>
      </c>
    </row>
    <row r="1767" spans="1:13">
      <c r="A1767" s="1">
        <f>HYPERLINK("http://www.twitter.com/NathanBLawrence/status/943547027182497792", "943547027182497792")</f>
        <v/>
      </c>
      <c r="B1767" s="2" t="n">
        <v>43089.76523148148</v>
      </c>
      <c r="C1767" t="n">
        <v>0</v>
      </c>
      <c r="D1767" t="n">
        <v>19972</v>
      </c>
      <c r="E1767" t="s">
        <v>1777</v>
      </c>
      <c r="F1767" t="s"/>
      <c r="G1767" t="s"/>
      <c r="H1767" t="s"/>
      <c r="I1767" t="s"/>
      <c r="J1767" t="n">
        <v>0.628</v>
      </c>
      <c r="K1767" t="n">
        <v>0</v>
      </c>
      <c r="L1767" t="n">
        <v>0.759</v>
      </c>
      <c r="M1767" t="n">
        <v>0.241</v>
      </c>
    </row>
    <row r="1768" spans="1:13">
      <c r="A1768" s="1">
        <f>HYPERLINK("http://www.twitter.com/NathanBLawrence/status/943545172113182720", "943545172113182720")</f>
        <v/>
      </c>
      <c r="B1768" s="2" t="n">
        <v>43089.76010416666</v>
      </c>
      <c r="C1768" t="n">
        <v>2</v>
      </c>
      <c r="D1768" t="n">
        <v>0</v>
      </c>
      <c r="E1768" t="s">
        <v>1778</v>
      </c>
      <c r="F1768" t="s"/>
      <c r="G1768" t="s"/>
      <c r="H1768" t="s"/>
      <c r="I1768" t="s"/>
      <c r="J1768" t="n">
        <v>-0.5007</v>
      </c>
      <c r="K1768" t="n">
        <v>0.16</v>
      </c>
      <c r="L1768" t="n">
        <v>0.84</v>
      </c>
      <c r="M1768" t="n">
        <v>0</v>
      </c>
    </row>
    <row r="1769" spans="1:13">
      <c r="A1769" s="1">
        <f>HYPERLINK("http://www.twitter.com/NathanBLawrence/status/943543935330406402", "943543935330406402")</f>
        <v/>
      </c>
      <c r="B1769" s="2" t="n">
        <v>43089.75670138889</v>
      </c>
      <c r="C1769" t="n">
        <v>1</v>
      </c>
      <c r="D1769" t="n">
        <v>0</v>
      </c>
      <c r="E1769" t="s">
        <v>1779</v>
      </c>
      <c r="F1769" t="s"/>
      <c r="G1769" t="s"/>
      <c r="H1769" t="s"/>
      <c r="I1769" t="s"/>
      <c r="J1769" t="n">
        <v>0.7507</v>
      </c>
      <c r="K1769" t="n">
        <v>0</v>
      </c>
      <c r="L1769" t="n">
        <v>0.425</v>
      </c>
      <c r="M1769" t="n">
        <v>0.575</v>
      </c>
    </row>
    <row r="1770" spans="1:13">
      <c r="A1770" s="1">
        <f>HYPERLINK("http://www.twitter.com/NathanBLawrence/status/943528002004180992", "943528002004180992")</f>
        <v/>
      </c>
      <c r="B1770" s="2" t="n">
        <v>43089.71273148148</v>
      </c>
      <c r="C1770" t="n">
        <v>0</v>
      </c>
      <c r="D1770" t="n">
        <v>2</v>
      </c>
      <c r="E1770" t="s">
        <v>1780</v>
      </c>
      <c r="F1770" t="s"/>
      <c r="G1770" t="s"/>
      <c r="H1770" t="s"/>
      <c r="I1770" t="s"/>
      <c r="J1770" t="n">
        <v>0.2023</v>
      </c>
      <c r="K1770" t="n">
        <v>0.077</v>
      </c>
      <c r="L1770" t="n">
        <v>0.8120000000000001</v>
      </c>
      <c r="M1770" t="n">
        <v>0.111</v>
      </c>
    </row>
    <row r="1771" spans="1:13">
      <c r="A1771" s="1">
        <f>HYPERLINK("http://www.twitter.com/NathanBLawrence/status/943525856345026560", "943525856345026560")</f>
        <v/>
      </c>
      <c r="B1771" s="2" t="n">
        <v>43089.70680555556</v>
      </c>
      <c r="C1771" t="n">
        <v>0</v>
      </c>
      <c r="D1771" t="n">
        <v>0</v>
      </c>
      <c r="E1771" t="s">
        <v>1781</v>
      </c>
      <c r="F1771" t="s"/>
      <c r="G1771" t="s"/>
      <c r="H1771" t="s"/>
      <c r="I1771" t="s"/>
      <c r="J1771" t="n">
        <v>0.6124000000000001</v>
      </c>
      <c r="K1771" t="n">
        <v>0.07099999999999999</v>
      </c>
      <c r="L1771" t="n">
        <v>0.672</v>
      </c>
      <c r="M1771" t="n">
        <v>0.257</v>
      </c>
    </row>
    <row r="1772" spans="1:13">
      <c r="A1772" s="1">
        <f>HYPERLINK("http://www.twitter.com/NathanBLawrence/status/943509487507435520", "943509487507435520")</f>
        <v/>
      </c>
      <c r="B1772" s="2" t="n">
        <v>43089.66164351852</v>
      </c>
      <c r="C1772" t="n">
        <v>0</v>
      </c>
      <c r="D1772" t="n">
        <v>0</v>
      </c>
      <c r="E1772" t="s">
        <v>1782</v>
      </c>
      <c r="F1772" t="s"/>
      <c r="G1772" t="s"/>
      <c r="H1772" t="s"/>
      <c r="I1772" t="s"/>
      <c r="J1772" t="n">
        <v>-0.7941</v>
      </c>
      <c r="K1772" t="n">
        <v>0.251</v>
      </c>
      <c r="L1772" t="n">
        <v>0.749</v>
      </c>
      <c r="M1772" t="n">
        <v>0</v>
      </c>
    </row>
    <row r="1773" spans="1:13">
      <c r="A1773" s="1">
        <f>HYPERLINK("http://www.twitter.com/NathanBLawrence/status/943505265898299394", "943505265898299394")</f>
        <v/>
      </c>
      <c r="B1773" s="2" t="n">
        <v>43089.64998842592</v>
      </c>
      <c r="C1773" t="n">
        <v>0</v>
      </c>
      <c r="D1773" t="n">
        <v>134</v>
      </c>
      <c r="E1773" t="s">
        <v>1783</v>
      </c>
      <c r="F1773">
        <f>HYPERLINK("http://pbs.twimg.com/media/DRgAmzKWAAAI74u.jpg", "http://pbs.twimg.com/media/DRgAmzKWAAAI74u.jpg")</f>
        <v/>
      </c>
      <c r="G1773" t="s"/>
      <c r="H1773" t="s"/>
      <c r="I1773" t="s"/>
      <c r="J1773" t="n">
        <v>0</v>
      </c>
      <c r="K1773" t="n">
        <v>0</v>
      </c>
      <c r="L1773" t="n">
        <v>1</v>
      </c>
      <c r="M1773" t="n">
        <v>0</v>
      </c>
    </row>
    <row r="1774" spans="1:13">
      <c r="A1774" s="1">
        <f>HYPERLINK("http://www.twitter.com/NathanBLawrence/status/943504284771110913", "943504284771110913")</f>
        <v/>
      </c>
      <c r="B1774" s="2" t="n">
        <v>43089.64728009259</v>
      </c>
      <c r="C1774" t="n">
        <v>0</v>
      </c>
      <c r="D1774" t="n">
        <v>0</v>
      </c>
      <c r="E1774" t="s">
        <v>1784</v>
      </c>
      <c r="F1774" t="s"/>
      <c r="G1774" t="s"/>
      <c r="H1774" t="s"/>
      <c r="I1774" t="s"/>
      <c r="J1774" t="n">
        <v>0</v>
      </c>
      <c r="K1774" t="n">
        <v>0</v>
      </c>
      <c r="L1774" t="n">
        <v>1</v>
      </c>
      <c r="M1774" t="n">
        <v>0</v>
      </c>
    </row>
    <row r="1775" spans="1:13">
      <c r="A1775" s="1">
        <f>HYPERLINK("http://www.twitter.com/NathanBLawrence/status/943496709467930624", "943496709467930624")</f>
        <v/>
      </c>
      <c r="B1775" s="2" t="n">
        <v>43089.62637731482</v>
      </c>
      <c r="C1775" t="n">
        <v>0</v>
      </c>
      <c r="D1775" t="n">
        <v>0</v>
      </c>
      <c r="E1775" t="s">
        <v>1785</v>
      </c>
      <c r="F1775" t="s"/>
      <c r="G1775" t="s"/>
      <c r="H1775" t="s"/>
      <c r="I1775" t="s"/>
      <c r="J1775" t="n">
        <v>0.3818</v>
      </c>
      <c r="K1775" t="n">
        <v>0</v>
      </c>
      <c r="L1775" t="n">
        <v>0.902</v>
      </c>
      <c r="M1775" t="n">
        <v>0.098</v>
      </c>
    </row>
    <row r="1776" spans="1:13">
      <c r="A1776" s="1">
        <f>HYPERLINK("http://www.twitter.com/NathanBLawrence/status/943491108448980992", "943491108448980992")</f>
        <v/>
      </c>
      <c r="B1776" s="2" t="n">
        <v>43089.61092592592</v>
      </c>
      <c r="C1776" t="n">
        <v>0</v>
      </c>
      <c r="D1776" t="n">
        <v>23476</v>
      </c>
      <c r="E1776" t="s">
        <v>1786</v>
      </c>
      <c r="F1776" t="s"/>
      <c r="G1776" t="s"/>
      <c r="H1776" t="s"/>
      <c r="I1776" t="s"/>
      <c r="J1776" t="n">
        <v>0.729</v>
      </c>
      <c r="K1776" t="n">
        <v>0</v>
      </c>
      <c r="L1776" t="n">
        <v>0.768</v>
      </c>
      <c r="M1776" t="n">
        <v>0.232</v>
      </c>
    </row>
    <row r="1777" spans="1:13">
      <c r="A1777" s="1">
        <f>HYPERLINK("http://www.twitter.com/NathanBLawrence/status/943491061942571013", "943491061942571013")</f>
        <v/>
      </c>
      <c r="B1777" s="2" t="n">
        <v>43089.61079861111</v>
      </c>
      <c r="C1777" t="n">
        <v>0</v>
      </c>
      <c r="D1777" t="n">
        <v>23789</v>
      </c>
      <c r="E1777" t="s">
        <v>1787</v>
      </c>
      <c r="F1777" t="s"/>
      <c r="G1777" t="s"/>
      <c r="H1777" t="s"/>
      <c r="I1777" t="s"/>
      <c r="J1777" t="n">
        <v>0.8401999999999999</v>
      </c>
      <c r="K1777" t="n">
        <v>0</v>
      </c>
      <c r="L1777" t="n">
        <v>0.6919999999999999</v>
      </c>
      <c r="M1777" t="n">
        <v>0.308</v>
      </c>
    </row>
    <row r="1778" spans="1:13">
      <c r="A1778" s="1">
        <f>HYPERLINK("http://www.twitter.com/NathanBLawrence/status/943491047124070401", "943491047124070401")</f>
        <v/>
      </c>
      <c r="B1778" s="2" t="n">
        <v>43089.61075231482</v>
      </c>
      <c r="C1778" t="n">
        <v>0</v>
      </c>
      <c r="D1778" t="n">
        <v>17396</v>
      </c>
      <c r="E1778" t="s">
        <v>1788</v>
      </c>
      <c r="F1778" t="s"/>
      <c r="G1778" t="s"/>
      <c r="H1778" t="s"/>
      <c r="I1778" t="s"/>
      <c r="J1778" t="n">
        <v>-0.3201</v>
      </c>
      <c r="K1778" t="n">
        <v>0.169</v>
      </c>
      <c r="L1778" t="n">
        <v>0.735</v>
      </c>
      <c r="M1778" t="n">
        <v>0.096</v>
      </c>
    </row>
    <row r="1779" spans="1:13">
      <c r="A1779" s="1">
        <f>HYPERLINK("http://www.twitter.com/NathanBLawrence/status/943488715997007872", "943488715997007872")</f>
        <v/>
      </c>
      <c r="B1779" s="2" t="n">
        <v>43089.60431712963</v>
      </c>
      <c r="C1779" t="n">
        <v>0</v>
      </c>
      <c r="D1779" t="n">
        <v>2011</v>
      </c>
      <c r="E1779" t="s">
        <v>1789</v>
      </c>
      <c r="F1779" t="s"/>
      <c r="G1779" t="s"/>
      <c r="H1779" t="s"/>
      <c r="I1779" t="s"/>
      <c r="J1779" t="n">
        <v>-0.2023</v>
      </c>
      <c r="K1779" t="n">
        <v>0.079</v>
      </c>
      <c r="L1779" t="n">
        <v>0.921</v>
      </c>
      <c r="M1779" t="n">
        <v>0</v>
      </c>
    </row>
    <row r="1780" spans="1:13">
      <c r="A1780" s="1">
        <f>HYPERLINK("http://www.twitter.com/NathanBLawrence/status/943472187515731968", "943472187515731968")</f>
        <v/>
      </c>
      <c r="B1780" s="2" t="n">
        <v>43089.55871527778</v>
      </c>
      <c r="C1780" t="n">
        <v>0</v>
      </c>
      <c r="D1780" t="n">
        <v>0</v>
      </c>
      <c r="E1780" t="s">
        <v>1790</v>
      </c>
      <c r="F1780" t="s"/>
      <c r="G1780" t="s"/>
      <c r="H1780" t="s"/>
      <c r="I1780" t="s"/>
      <c r="J1780" t="n">
        <v>0.3612</v>
      </c>
      <c r="K1780" t="n">
        <v>0.222</v>
      </c>
      <c r="L1780" t="n">
        <v>0.317</v>
      </c>
      <c r="M1780" t="n">
        <v>0.46</v>
      </c>
    </row>
    <row r="1781" spans="1:13">
      <c r="A1781" s="1">
        <f>HYPERLINK("http://www.twitter.com/NathanBLawrence/status/943468078750490624", "943468078750490624")</f>
        <v/>
      </c>
      <c r="B1781" s="2" t="n">
        <v>43089.54737268519</v>
      </c>
      <c r="C1781" t="n">
        <v>0</v>
      </c>
      <c r="D1781" t="n">
        <v>2</v>
      </c>
      <c r="E1781" t="s">
        <v>1791</v>
      </c>
      <c r="F1781" t="s"/>
      <c r="G1781" t="s"/>
      <c r="H1781" t="s"/>
      <c r="I1781" t="s"/>
      <c r="J1781" t="n">
        <v>-0.5266999999999999</v>
      </c>
      <c r="K1781" t="n">
        <v>0.257</v>
      </c>
      <c r="L1781" t="n">
        <v>0.662</v>
      </c>
      <c r="M1781" t="n">
        <v>0.081</v>
      </c>
    </row>
    <row r="1782" spans="1:13">
      <c r="A1782" s="1">
        <f>HYPERLINK("http://www.twitter.com/NathanBLawrence/status/943442157486182402", "943442157486182402")</f>
        <v/>
      </c>
      <c r="B1782" s="2" t="n">
        <v>43089.47584490741</v>
      </c>
      <c r="C1782" t="n">
        <v>0</v>
      </c>
      <c r="D1782" t="n">
        <v>12</v>
      </c>
      <c r="E1782" t="s">
        <v>1792</v>
      </c>
      <c r="F1782">
        <f>HYPERLINK("http://pbs.twimg.com/media/DRfHSIdU8AADX3g.jpg", "http://pbs.twimg.com/media/DRfHSIdU8AADX3g.jpg")</f>
        <v/>
      </c>
      <c r="G1782" t="s"/>
      <c r="H1782" t="s"/>
      <c r="I1782" t="s"/>
      <c r="J1782" t="n">
        <v>0</v>
      </c>
      <c r="K1782" t="n">
        <v>0</v>
      </c>
      <c r="L1782" t="n">
        <v>1</v>
      </c>
      <c r="M1782" t="n">
        <v>0</v>
      </c>
    </row>
    <row r="1783" spans="1:13">
      <c r="A1783" s="1">
        <f>HYPERLINK("http://www.twitter.com/NathanBLawrence/status/943441867701735424", "943441867701735424")</f>
        <v/>
      </c>
      <c r="B1783" s="2" t="n">
        <v>43089.4750462963</v>
      </c>
      <c r="C1783" t="n">
        <v>0</v>
      </c>
      <c r="D1783" t="n">
        <v>30460</v>
      </c>
      <c r="E1783" t="s">
        <v>1793</v>
      </c>
      <c r="F1783" t="s"/>
      <c r="G1783" t="s"/>
      <c r="H1783" t="s"/>
      <c r="I1783" t="s"/>
      <c r="J1783" t="n">
        <v>-0.34</v>
      </c>
      <c r="K1783" t="n">
        <v>0.2</v>
      </c>
      <c r="L1783" t="n">
        <v>0.6919999999999999</v>
      </c>
      <c r="M1783" t="n">
        <v>0.108</v>
      </c>
    </row>
    <row r="1784" spans="1:13">
      <c r="A1784" s="1">
        <f>HYPERLINK("http://www.twitter.com/NathanBLawrence/status/943441192305426432", "943441192305426432")</f>
        <v/>
      </c>
      <c r="B1784" s="2" t="n">
        <v>43089.47318287037</v>
      </c>
      <c r="C1784" t="n">
        <v>0</v>
      </c>
      <c r="D1784" t="n">
        <v>2</v>
      </c>
      <c r="E1784" t="s">
        <v>1794</v>
      </c>
      <c r="F1784" t="s"/>
      <c r="G1784" t="s"/>
      <c r="H1784" t="s"/>
      <c r="I1784" t="s"/>
      <c r="J1784" t="n">
        <v>0.2732</v>
      </c>
      <c r="K1784" t="n">
        <v>0</v>
      </c>
      <c r="L1784" t="n">
        <v>0.769</v>
      </c>
      <c r="M1784" t="n">
        <v>0.231</v>
      </c>
    </row>
    <row r="1785" spans="1:13">
      <c r="A1785" s="1">
        <f>HYPERLINK("http://www.twitter.com/NathanBLawrence/status/943357987099414528", "943357987099414528")</f>
        <v/>
      </c>
      <c r="B1785" s="2" t="n">
        <v>43089.24357638889</v>
      </c>
      <c r="C1785" t="n">
        <v>0</v>
      </c>
      <c r="D1785" t="n">
        <v>0</v>
      </c>
      <c r="E1785" t="s">
        <v>1795</v>
      </c>
      <c r="F1785">
        <f>HYPERLINK("http://pbs.twimg.com/media/DRd7FTzW0AEqDLt.jpg", "http://pbs.twimg.com/media/DRd7FTzW0AEqDLt.jpg")</f>
        <v/>
      </c>
      <c r="G1785" t="s"/>
      <c r="H1785" t="s"/>
      <c r="I1785" t="s"/>
      <c r="J1785" t="n">
        <v>0</v>
      </c>
      <c r="K1785" t="n">
        <v>0</v>
      </c>
      <c r="L1785" t="n">
        <v>1</v>
      </c>
      <c r="M1785" t="n">
        <v>0</v>
      </c>
    </row>
    <row r="1786" spans="1:13">
      <c r="A1786" s="1">
        <f>HYPERLINK("http://www.twitter.com/NathanBLawrence/status/943355367794335744", "943355367794335744")</f>
        <v/>
      </c>
      <c r="B1786" s="2" t="n">
        <v>43089.23635416666</v>
      </c>
      <c r="C1786" t="n">
        <v>0</v>
      </c>
      <c r="D1786" t="n">
        <v>0</v>
      </c>
      <c r="E1786" t="s">
        <v>1796</v>
      </c>
      <c r="F1786" t="s"/>
      <c r="G1786" t="s"/>
      <c r="H1786" t="s"/>
      <c r="I1786" t="s"/>
      <c r="J1786" t="n">
        <v>-0.4767</v>
      </c>
      <c r="K1786" t="n">
        <v>0.256</v>
      </c>
      <c r="L1786" t="n">
        <v>0.744</v>
      </c>
      <c r="M1786" t="n">
        <v>0</v>
      </c>
    </row>
    <row r="1787" spans="1:13">
      <c r="A1787" s="1">
        <f>HYPERLINK("http://www.twitter.com/NathanBLawrence/status/943354724006449153", "943354724006449153")</f>
        <v/>
      </c>
      <c r="B1787" s="2" t="n">
        <v>43089.23457175926</v>
      </c>
      <c r="C1787" t="n">
        <v>2</v>
      </c>
      <c r="D1787" t="n">
        <v>0</v>
      </c>
      <c r="E1787" t="s">
        <v>1797</v>
      </c>
      <c r="F1787" t="s"/>
      <c r="G1787" t="s"/>
      <c r="H1787" t="s"/>
      <c r="I1787" t="s"/>
      <c r="J1787" t="n">
        <v>-0.2444</v>
      </c>
      <c r="K1787" t="n">
        <v>0.39</v>
      </c>
      <c r="L1787" t="n">
        <v>0.327</v>
      </c>
      <c r="M1787" t="n">
        <v>0.283</v>
      </c>
    </row>
    <row r="1788" spans="1:13">
      <c r="A1788" s="1">
        <f>HYPERLINK("http://www.twitter.com/NathanBLawrence/status/943354006830796801", "943354006830796801")</f>
        <v/>
      </c>
      <c r="B1788" s="2" t="n">
        <v>43089.23259259259</v>
      </c>
      <c r="C1788" t="n">
        <v>1</v>
      </c>
      <c r="D1788" t="n">
        <v>0</v>
      </c>
      <c r="E1788" t="s">
        <v>1798</v>
      </c>
      <c r="F1788" t="s"/>
      <c r="G1788" t="s"/>
      <c r="H1788" t="s"/>
      <c r="I1788" t="s"/>
      <c r="J1788" t="n">
        <v>0</v>
      </c>
      <c r="K1788" t="n">
        <v>0</v>
      </c>
      <c r="L1788" t="n">
        <v>1</v>
      </c>
      <c r="M1788" t="n">
        <v>0</v>
      </c>
    </row>
    <row r="1789" spans="1:13">
      <c r="A1789" s="1">
        <f>HYPERLINK("http://www.twitter.com/NathanBLawrence/status/943350336722481153", "943350336722481153")</f>
        <v/>
      </c>
      <c r="B1789" s="2" t="n">
        <v>43089.22246527778</v>
      </c>
      <c r="C1789" t="n">
        <v>0</v>
      </c>
      <c r="D1789" t="n">
        <v>0</v>
      </c>
      <c r="E1789" t="s">
        <v>1799</v>
      </c>
      <c r="F1789" t="s"/>
      <c r="G1789" t="s"/>
      <c r="H1789" t="s"/>
      <c r="I1789" t="s"/>
      <c r="J1789" t="n">
        <v>0</v>
      </c>
      <c r="K1789" t="n">
        <v>0</v>
      </c>
      <c r="L1789" t="n">
        <v>1</v>
      </c>
      <c r="M1789" t="n">
        <v>0</v>
      </c>
    </row>
    <row r="1790" spans="1:13">
      <c r="A1790" s="1">
        <f>HYPERLINK("http://www.twitter.com/NathanBLawrence/status/943346297771380736", "943346297771380736")</f>
        <v/>
      </c>
      <c r="B1790" s="2" t="n">
        <v>43089.21131944445</v>
      </c>
      <c r="C1790" t="n">
        <v>0</v>
      </c>
      <c r="D1790" t="n">
        <v>0</v>
      </c>
      <c r="E1790" t="s">
        <v>1800</v>
      </c>
      <c r="F1790" t="s"/>
      <c r="G1790" t="s"/>
      <c r="H1790" t="s"/>
      <c r="I1790" t="s"/>
      <c r="J1790" t="n">
        <v>-0.7184</v>
      </c>
      <c r="K1790" t="n">
        <v>0.875</v>
      </c>
      <c r="L1790" t="n">
        <v>0.125</v>
      </c>
      <c r="M1790" t="n">
        <v>0</v>
      </c>
    </row>
    <row r="1791" spans="1:13">
      <c r="A1791" s="1">
        <f>HYPERLINK("http://www.twitter.com/NathanBLawrence/status/943343655288524805", "943343655288524805")</f>
        <v/>
      </c>
      <c r="B1791" s="2" t="n">
        <v>43089.20402777778</v>
      </c>
      <c r="C1791" t="n">
        <v>2</v>
      </c>
      <c r="D1791" t="n">
        <v>0</v>
      </c>
      <c r="E1791" t="s">
        <v>1801</v>
      </c>
      <c r="F1791" t="s"/>
      <c r="G1791" t="s"/>
      <c r="H1791" t="s"/>
      <c r="I1791" t="s"/>
      <c r="J1791" t="n">
        <v>-0.3612</v>
      </c>
      <c r="K1791" t="n">
        <v>0.106</v>
      </c>
      <c r="L1791" t="n">
        <v>0.894</v>
      </c>
      <c r="M1791" t="n">
        <v>0</v>
      </c>
    </row>
    <row r="1792" spans="1:13">
      <c r="A1792" s="1">
        <f>HYPERLINK("http://www.twitter.com/NathanBLawrence/status/943341841159684097", "943341841159684097")</f>
        <v/>
      </c>
      <c r="B1792" s="2" t="n">
        <v>43089.19902777778</v>
      </c>
      <c r="C1792" t="n">
        <v>1</v>
      </c>
      <c r="D1792" t="n">
        <v>1</v>
      </c>
      <c r="E1792" t="s">
        <v>1802</v>
      </c>
      <c r="F1792" t="s"/>
      <c r="G1792" t="s"/>
      <c r="H1792" t="s"/>
      <c r="I1792" t="s"/>
      <c r="J1792" t="n">
        <v>0.6597</v>
      </c>
      <c r="K1792" t="n">
        <v>0</v>
      </c>
      <c r="L1792" t="n">
        <v>0.671</v>
      </c>
      <c r="M1792" t="n">
        <v>0.329</v>
      </c>
    </row>
    <row r="1793" spans="1:13">
      <c r="A1793" s="1">
        <f>HYPERLINK("http://www.twitter.com/NathanBLawrence/status/943337891673051136", "943337891673051136")</f>
        <v/>
      </c>
      <c r="B1793" s="2" t="n">
        <v>43089.188125</v>
      </c>
      <c r="C1793" t="n">
        <v>0</v>
      </c>
      <c r="D1793" t="n">
        <v>0</v>
      </c>
      <c r="E1793" t="s">
        <v>1803</v>
      </c>
      <c r="F1793" t="s"/>
      <c r="G1793" t="s"/>
      <c r="H1793" t="s"/>
      <c r="I1793" t="s"/>
      <c r="J1793" t="n">
        <v>0.1511</v>
      </c>
      <c r="K1793" t="n">
        <v>0</v>
      </c>
      <c r="L1793" t="n">
        <v>0.885</v>
      </c>
      <c r="M1793" t="n">
        <v>0.115</v>
      </c>
    </row>
    <row r="1794" spans="1:13">
      <c r="A1794" s="1">
        <f>HYPERLINK("http://www.twitter.com/NathanBLawrence/status/943332546015842304", "943332546015842304")</f>
        <v/>
      </c>
      <c r="B1794" s="2" t="n">
        <v>43089.17336805556</v>
      </c>
      <c r="C1794" t="n">
        <v>0</v>
      </c>
      <c r="D1794" t="n">
        <v>0</v>
      </c>
      <c r="E1794" t="s">
        <v>1804</v>
      </c>
      <c r="F1794" t="s"/>
      <c r="G1794" t="s"/>
      <c r="H1794" t="s"/>
      <c r="I1794" t="s"/>
      <c r="J1794" t="n">
        <v>0.6228</v>
      </c>
      <c r="K1794" t="n">
        <v>0.046</v>
      </c>
      <c r="L1794" t="n">
        <v>0.821</v>
      </c>
      <c r="M1794" t="n">
        <v>0.134</v>
      </c>
    </row>
    <row r="1795" spans="1:13">
      <c r="A1795" s="1">
        <f>HYPERLINK("http://www.twitter.com/NathanBLawrence/status/943328998117007360", "943328998117007360")</f>
        <v/>
      </c>
      <c r="B1795" s="2" t="n">
        <v>43089.16358796296</v>
      </c>
      <c r="C1795" t="n">
        <v>0</v>
      </c>
      <c r="D1795" t="n">
        <v>0</v>
      </c>
      <c r="E1795" t="s">
        <v>1805</v>
      </c>
      <c r="F1795" t="s"/>
      <c r="G1795" t="s"/>
      <c r="H1795" t="s"/>
      <c r="I1795" t="s"/>
      <c r="J1795" t="n">
        <v>0</v>
      </c>
      <c r="K1795" t="n">
        <v>0</v>
      </c>
      <c r="L1795" t="n">
        <v>1</v>
      </c>
      <c r="M1795" t="n">
        <v>0</v>
      </c>
    </row>
    <row r="1796" spans="1:13">
      <c r="A1796" s="1">
        <f>HYPERLINK("http://www.twitter.com/NathanBLawrence/status/943327548292915200", "943327548292915200")</f>
        <v/>
      </c>
      <c r="B1796" s="2" t="n">
        <v>43089.15958333333</v>
      </c>
      <c r="C1796" t="n">
        <v>0</v>
      </c>
      <c r="D1796" t="n">
        <v>0</v>
      </c>
      <c r="E1796" t="s">
        <v>1806</v>
      </c>
      <c r="F1796" t="s"/>
      <c r="G1796" t="s"/>
      <c r="H1796" t="s"/>
      <c r="I1796" t="s"/>
      <c r="J1796" t="n">
        <v>0</v>
      </c>
      <c r="K1796" t="n">
        <v>0</v>
      </c>
      <c r="L1796" t="n">
        <v>1</v>
      </c>
      <c r="M1796" t="n">
        <v>0</v>
      </c>
    </row>
    <row r="1797" spans="1:13">
      <c r="A1797" s="1">
        <f>HYPERLINK("http://www.twitter.com/NathanBLawrence/status/943323803647700993", "943323803647700993")</f>
        <v/>
      </c>
      <c r="B1797" s="2" t="n">
        <v>43089.14924768519</v>
      </c>
      <c r="C1797" t="n">
        <v>0</v>
      </c>
      <c r="D1797" t="n">
        <v>0</v>
      </c>
      <c r="E1797" t="s">
        <v>1807</v>
      </c>
      <c r="F1797" t="s"/>
      <c r="G1797" t="s"/>
      <c r="H1797" t="s"/>
      <c r="I1797" t="s"/>
      <c r="J1797" t="n">
        <v>0</v>
      </c>
      <c r="K1797" t="n">
        <v>0</v>
      </c>
      <c r="L1797" t="n">
        <v>1</v>
      </c>
      <c r="M1797" t="n">
        <v>0</v>
      </c>
    </row>
    <row r="1798" spans="1:13">
      <c r="A1798" s="1">
        <f>HYPERLINK("http://www.twitter.com/NathanBLawrence/status/943293643502342144", "943293643502342144")</f>
        <v/>
      </c>
      <c r="B1798" s="2" t="n">
        <v>43089.06601851852</v>
      </c>
      <c r="C1798" t="n">
        <v>1</v>
      </c>
      <c r="D1798" t="n">
        <v>0</v>
      </c>
      <c r="E1798" t="s">
        <v>1808</v>
      </c>
      <c r="F1798" t="s"/>
      <c r="G1798" t="s"/>
      <c r="H1798" t="s"/>
      <c r="I1798" t="s"/>
      <c r="J1798" t="n">
        <v>-0.5719</v>
      </c>
      <c r="K1798" t="n">
        <v>0.188</v>
      </c>
      <c r="L1798" t="n">
        <v>0.8120000000000001</v>
      </c>
      <c r="M1798" t="n">
        <v>0</v>
      </c>
    </row>
    <row r="1799" spans="1:13">
      <c r="A1799" s="1">
        <f>HYPERLINK("http://www.twitter.com/NathanBLawrence/status/943174410747379713", "943174410747379713")</f>
        <v/>
      </c>
      <c r="B1799" s="2" t="n">
        <v>43088.73700231482</v>
      </c>
      <c r="C1799" t="n">
        <v>0</v>
      </c>
      <c r="D1799" t="n">
        <v>10</v>
      </c>
      <c r="E1799" t="s">
        <v>1809</v>
      </c>
      <c r="F1799" t="s"/>
      <c r="G1799" t="s"/>
      <c r="H1799" t="s"/>
      <c r="I1799" t="s"/>
      <c r="J1799" t="n">
        <v>0.3612</v>
      </c>
      <c r="K1799" t="n">
        <v>0.154</v>
      </c>
      <c r="L1799" t="n">
        <v>0.599</v>
      </c>
      <c r="M1799" t="n">
        <v>0.247</v>
      </c>
    </row>
    <row r="1800" spans="1:13">
      <c r="A1800" s="1">
        <f>HYPERLINK("http://www.twitter.com/NathanBLawrence/status/943168064589352961", "943168064589352961")</f>
        <v/>
      </c>
      <c r="B1800" s="2" t="n">
        <v>43088.71949074074</v>
      </c>
      <c r="C1800" t="n">
        <v>1</v>
      </c>
      <c r="D1800" t="n">
        <v>1</v>
      </c>
      <c r="E1800" t="s">
        <v>1810</v>
      </c>
      <c r="F1800" t="s"/>
      <c r="G1800" t="s"/>
      <c r="H1800" t="s"/>
      <c r="I1800" t="s"/>
      <c r="J1800" t="n">
        <v>-0.0516</v>
      </c>
      <c r="K1800" t="n">
        <v>0.182</v>
      </c>
      <c r="L1800" t="n">
        <v>0.647</v>
      </c>
      <c r="M1800" t="n">
        <v>0.171</v>
      </c>
    </row>
    <row r="1801" spans="1:13">
      <c r="A1801" s="1">
        <f>HYPERLINK("http://www.twitter.com/NathanBLawrence/status/943150746639437824", "943150746639437824")</f>
        <v/>
      </c>
      <c r="B1801" s="2" t="n">
        <v>43088.67170138889</v>
      </c>
      <c r="C1801" t="n">
        <v>0</v>
      </c>
      <c r="D1801" t="n">
        <v>123</v>
      </c>
      <c r="E1801" t="s">
        <v>1811</v>
      </c>
      <c r="F1801" t="s"/>
      <c r="G1801" t="s"/>
      <c r="H1801" t="s"/>
      <c r="I1801" t="s"/>
      <c r="J1801" t="n">
        <v>0.0056</v>
      </c>
      <c r="K1801" t="n">
        <v>0.138</v>
      </c>
      <c r="L1801" t="n">
        <v>0.723</v>
      </c>
      <c r="M1801" t="n">
        <v>0.139</v>
      </c>
    </row>
    <row r="1802" spans="1:13">
      <c r="A1802" s="1">
        <f>HYPERLINK("http://www.twitter.com/NathanBLawrence/status/943150568041779202", "943150568041779202")</f>
        <v/>
      </c>
      <c r="B1802" s="2" t="n">
        <v>43088.67120370371</v>
      </c>
      <c r="C1802" t="n">
        <v>0</v>
      </c>
      <c r="D1802" t="n">
        <v>161</v>
      </c>
      <c r="E1802" t="s">
        <v>1812</v>
      </c>
      <c r="F1802" t="s"/>
      <c r="G1802" t="s"/>
      <c r="H1802" t="s"/>
      <c r="I1802" t="s"/>
      <c r="J1802" t="n">
        <v>0</v>
      </c>
      <c r="K1802" t="n">
        <v>0</v>
      </c>
      <c r="L1802" t="n">
        <v>1</v>
      </c>
      <c r="M1802" t="n">
        <v>0</v>
      </c>
    </row>
    <row r="1803" spans="1:13">
      <c r="A1803" s="1">
        <f>HYPERLINK("http://www.twitter.com/NathanBLawrence/status/943136002578710528", "943136002578710528")</f>
        <v/>
      </c>
      <c r="B1803" s="2" t="n">
        <v>43088.63101851852</v>
      </c>
      <c r="C1803" t="n">
        <v>0</v>
      </c>
      <c r="D1803" t="n">
        <v>24182</v>
      </c>
      <c r="E1803" t="s">
        <v>1813</v>
      </c>
      <c r="F1803" t="s"/>
      <c r="G1803" t="s"/>
      <c r="H1803" t="s"/>
      <c r="I1803" t="s"/>
      <c r="J1803" t="n">
        <v>0.5266999999999999</v>
      </c>
      <c r="K1803" t="n">
        <v>0</v>
      </c>
      <c r="L1803" t="n">
        <v>0.841</v>
      </c>
      <c r="M1803" t="n">
        <v>0.159</v>
      </c>
    </row>
    <row r="1804" spans="1:13">
      <c r="A1804" s="1">
        <f>HYPERLINK("http://www.twitter.com/NathanBLawrence/status/943121695602339841", "943121695602339841")</f>
        <v/>
      </c>
      <c r="B1804" s="2" t="n">
        <v>43088.59153935185</v>
      </c>
      <c r="C1804" t="n">
        <v>2</v>
      </c>
      <c r="D1804" t="n">
        <v>1</v>
      </c>
      <c r="E1804" t="s">
        <v>1814</v>
      </c>
      <c r="F1804" t="s"/>
      <c r="G1804" t="s"/>
      <c r="H1804" t="s"/>
      <c r="I1804" t="s"/>
      <c r="J1804" t="n">
        <v>0.6249</v>
      </c>
      <c r="K1804" t="n">
        <v>0</v>
      </c>
      <c r="L1804" t="n">
        <v>0.823</v>
      </c>
      <c r="M1804" t="n">
        <v>0.177</v>
      </c>
    </row>
    <row r="1805" spans="1:13">
      <c r="A1805" s="1">
        <f>HYPERLINK("http://www.twitter.com/NathanBLawrence/status/943107325698691072", "943107325698691072")</f>
        <v/>
      </c>
      <c r="B1805" s="2" t="n">
        <v>43088.55188657407</v>
      </c>
      <c r="C1805" t="n">
        <v>0</v>
      </c>
      <c r="D1805" t="n">
        <v>0</v>
      </c>
      <c r="E1805" t="s">
        <v>1815</v>
      </c>
      <c r="F1805" t="s"/>
      <c r="G1805" t="s"/>
      <c r="H1805" t="s"/>
      <c r="I1805" t="s"/>
      <c r="J1805" t="n">
        <v>0</v>
      </c>
      <c r="K1805" t="n">
        <v>0</v>
      </c>
      <c r="L1805" t="n">
        <v>1</v>
      </c>
      <c r="M1805" t="n">
        <v>0</v>
      </c>
    </row>
    <row r="1806" spans="1:13">
      <c r="A1806" s="1">
        <f>HYPERLINK("http://www.twitter.com/NathanBLawrence/status/942950167216623617", "942950167216623617")</f>
        <v/>
      </c>
      <c r="B1806" s="2" t="n">
        <v>43088.11820601852</v>
      </c>
      <c r="C1806" t="n">
        <v>0</v>
      </c>
      <c r="D1806" t="n">
        <v>496</v>
      </c>
      <c r="E1806" t="s">
        <v>1816</v>
      </c>
      <c r="F1806" t="s"/>
      <c r="G1806" t="s"/>
      <c r="H1806" t="s"/>
      <c r="I1806" t="s"/>
      <c r="J1806" t="n">
        <v>0.7184</v>
      </c>
      <c r="K1806" t="n">
        <v>0</v>
      </c>
      <c r="L1806" t="n">
        <v>0.76</v>
      </c>
      <c r="M1806" t="n">
        <v>0.24</v>
      </c>
    </row>
    <row r="1807" spans="1:13">
      <c r="A1807" s="1">
        <f>HYPERLINK("http://www.twitter.com/NathanBLawrence/status/942949983258644480", "942949983258644480")</f>
        <v/>
      </c>
      <c r="B1807" s="2" t="n">
        <v>43088.11769675926</v>
      </c>
      <c r="C1807" t="n">
        <v>0</v>
      </c>
      <c r="D1807" t="n">
        <v>40</v>
      </c>
      <c r="E1807" t="s">
        <v>1817</v>
      </c>
      <c r="F1807">
        <f>HYPERLINK("http://pbs.twimg.com/media/DRYHeN0WAAABmmw.jpg", "http://pbs.twimg.com/media/DRYHeN0WAAABmmw.jpg")</f>
        <v/>
      </c>
      <c r="G1807" t="s"/>
      <c r="H1807" t="s"/>
      <c r="I1807" t="s"/>
      <c r="J1807" t="n">
        <v>0</v>
      </c>
      <c r="K1807" t="n">
        <v>0</v>
      </c>
      <c r="L1807" t="n">
        <v>1</v>
      </c>
      <c r="M1807" t="n">
        <v>0</v>
      </c>
    </row>
    <row r="1808" spans="1:13">
      <c r="A1808" s="1">
        <f>HYPERLINK("http://www.twitter.com/NathanBLawrence/status/942947706410098688", "942947706410098688")</f>
        <v/>
      </c>
      <c r="B1808" s="2" t="n">
        <v>43088.11141203704</v>
      </c>
      <c r="C1808" t="n">
        <v>0</v>
      </c>
      <c r="D1808" t="n">
        <v>0</v>
      </c>
      <c r="E1808" t="s">
        <v>1818</v>
      </c>
      <c r="F1808" t="s"/>
      <c r="G1808" t="s"/>
      <c r="H1808" t="s"/>
      <c r="I1808" t="s"/>
      <c r="J1808" t="n">
        <v>0.5719</v>
      </c>
      <c r="K1808" t="n">
        <v>0</v>
      </c>
      <c r="L1808" t="n">
        <v>0.89</v>
      </c>
      <c r="M1808" t="n">
        <v>0.11</v>
      </c>
    </row>
    <row r="1809" spans="1:13">
      <c r="A1809" s="1">
        <f>HYPERLINK("http://www.twitter.com/NathanBLawrence/status/942855591256641536", "942855591256641536")</f>
        <v/>
      </c>
      <c r="B1809" s="2" t="n">
        <v>43087.8572337963</v>
      </c>
      <c r="C1809" t="n">
        <v>0</v>
      </c>
      <c r="D1809" t="n">
        <v>9959</v>
      </c>
      <c r="E1809" t="s">
        <v>1819</v>
      </c>
      <c r="F1809">
        <f>HYPERLINK("https://video.twimg.com/ext_tw_video/942852092955414529/pu/vid/1280x720/Fd1Z6GMClniRQ2f5.mp4", "https://video.twimg.com/ext_tw_video/942852092955414529/pu/vid/1280x720/Fd1Z6GMClniRQ2f5.mp4")</f>
        <v/>
      </c>
      <c r="G1809" t="s"/>
      <c r="H1809" t="s"/>
      <c r="I1809" t="s"/>
      <c r="J1809" t="n">
        <v>0.3818</v>
      </c>
      <c r="K1809" t="n">
        <v>0</v>
      </c>
      <c r="L1809" t="n">
        <v>0.898</v>
      </c>
      <c r="M1809" t="n">
        <v>0.102</v>
      </c>
    </row>
    <row r="1810" spans="1:13">
      <c r="A1810" s="1">
        <f>HYPERLINK("http://www.twitter.com/NathanBLawrence/status/942851285354770433", "942851285354770433")</f>
        <v/>
      </c>
      <c r="B1810" s="2" t="n">
        <v>43087.84534722222</v>
      </c>
      <c r="C1810" t="n">
        <v>0</v>
      </c>
      <c r="D1810" t="n">
        <v>0</v>
      </c>
      <c r="E1810" t="s">
        <v>1820</v>
      </c>
      <c r="F1810" t="s"/>
      <c r="G1810" t="s"/>
      <c r="H1810" t="s"/>
      <c r="I1810" t="s"/>
      <c r="J1810" t="n">
        <v>0.0772</v>
      </c>
      <c r="K1810" t="n">
        <v>0.077</v>
      </c>
      <c r="L1810" t="n">
        <v>0.863</v>
      </c>
      <c r="M1810" t="n">
        <v>0.06</v>
      </c>
    </row>
    <row r="1811" spans="1:13">
      <c r="A1811" s="1">
        <f>HYPERLINK("http://www.twitter.com/NathanBLawrence/status/942846512668782592", "942846512668782592")</f>
        <v/>
      </c>
      <c r="B1811" s="2" t="n">
        <v>43087.83217592593</v>
      </c>
      <c r="C1811" t="n">
        <v>0</v>
      </c>
      <c r="D1811" t="n">
        <v>2395</v>
      </c>
      <c r="E1811" t="s">
        <v>1821</v>
      </c>
      <c r="F1811" t="s"/>
      <c r="G1811" t="s"/>
      <c r="H1811" t="s"/>
      <c r="I1811" t="s"/>
      <c r="J1811" t="n">
        <v>-0.6597</v>
      </c>
      <c r="K1811" t="n">
        <v>0.206</v>
      </c>
      <c r="L1811" t="n">
        <v>0.794</v>
      </c>
      <c r="M1811" t="n">
        <v>0</v>
      </c>
    </row>
    <row r="1812" spans="1:13">
      <c r="A1812" s="1">
        <f>HYPERLINK("http://www.twitter.com/NathanBLawrence/status/942846415688097792", "942846415688097792")</f>
        <v/>
      </c>
      <c r="B1812" s="2" t="n">
        <v>43087.83190972222</v>
      </c>
      <c r="C1812" t="n">
        <v>0</v>
      </c>
      <c r="D1812" t="n">
        <v>10230</v>
      </c>
      <c r="E1812" t="s">
        <v>1822</v>
      </c>
      <c r="F1812" t="s"/>
      <c r="G1812" t="s"/>
      <c r="H1812" t="s"/>
      <c r="I1812" t="s"/>
      <c r="J1812" t="n">
        <v>0</v>
      </c>
      <c r="K1812" t="n">
        <v>0</v>
      </c>
      <c r="L1812" t="n">
        <v>1</v>
      </c>
      <c r="M1812" t="n">
        <v>0</v>
      </c>
    </row>
    <row r="1813" spans="1:13">
      <c r="A1813" s="1">
        <f>HYPERLINK("http://www.twitter.com/NathanBLawrence/status/942802921070133249", "942802921070133249")</f>
        <v/>
      </c>
      <c r="B1813" s="2" t="n">
        <v>43087.71188657408</v>
      </c>
      <c r="C1813" t="n">
        <v>0</v>
      </c>
      <c r="D1813" t="n">
        <v>7706</v>
      </c>
      <c r="E1813" t="s">
        <v>1823</v>
      </c>
      <c r="F1813" t="s"/>
      <c r="G1813" t="s"/>
      <c r="H1813" t="s"/>
      <c r="I1813" t="s"/>
      <c r="J1813" t="n">
        <v>-0.7184</v>
      </c>
      <c r="K1813" t="n">
        <v>0.3</v>
      </c>
      <c r="L1813" t="n">
        <v>0.7</v>
      </c>
      <c r="M1813" t="n">
        <v>0</v>
      </c>
    </row>
    <row r="1814" spans="1:13">
      <c r="A1814" s="1">
        <f>HYPERLINK("http://www.twitter.com/NathanBLawrence/status/942596668050100225", "942596668050100225")</f>
        <v/>
      </c>
      <c r="B1814" s="2" t="n">
        <v>43087.14273148148</v>
      </c>
      <c r="C1814" t="n">
        <v>0</v>
      </c>
      <c r="D1814" t="n">
        <v>0</v>
      </c>
      <c r="E1814" t="s">
        <v>1824</v>
      </c>
      <c r="F1814" t="s"/>
      <c r="G1814" t="s"/>
      <c r="H1814" t="s"/>
      <c r="I1814" t="s"/>
      <c r="J1814" t="n">
        <v>-0.5106000000000001</v>
      </c>
      <c r="K1814" t="n">
        <v>0.231</v>
      </c>
      <c r="L1814" t="n">
        <v>0.769</v>
      </c>
      <c r="M1814" t="n">
        <v>0</v>
      </c>
    </row>
    <row r="1815" spans="1:13">
      <c r="A1815" s="1">
        <f>HYPERLINK("http://www.twitter.com/NathanBLawrence/status/942594730684186624", "942594730684186624")</f>
        <v/>
      </c>
      <c r="B1815" s="2" t="n">
        <v>43087.13739583334</v>
      </c>
      <c r="C1815" t="n">
        <v>1</v>
      </c>
      <c r="D1815" t="n">
        <v>0</v>
      </c>
      <c r="E1815" t="s">
        <v>1825</v>
      </c>
      <c r="F1815" t="s"/>
      <c r="G1815" t="s"/>
      <c r="H1815" t="s"/>
      <c r="I1815" t="s"/>
      <c r="J1815" t="n">
        <v>0</v>
      </c>
      <c r="K1815" t="n">
        <v>0</v>
      </c>
      <c r="L1815" t="n">
        <v>1</v>
      </c>
      <c r="M1815" t="n">
        <v>0</v>
      </c>
    </row>
    <row r="1816" spans="1:13">
      <c r="A1816" s="1">
        <f>HYPERLINK("http://www.twitter.com/NathanBLawrence/status/942579661229514752", "942579661229514752")</f>
        <v/>
      </c>
      <c r="B1816" s="2" t="n">
        <v>43087.09581018519</v>
      </c>
      <c r="C1816" t="n">
        <v>0</v>
      </c>
      <c r="D1816" t="n">
        <v>1479</v>
      </c>
      <c r="E1816" t="s">
        <v>1826</v>
      </c>
      <c r="F1816" t="s"/>
      <c r="G1816" t="s"/>
      <c r="H1816" t="s"/>
      <c r="I1816" t="s"/>
      <c r="J1816" t="n">
        <v>-0.7184</v>
      </c>
      <c r="K1816" t="n">
        <v>0.375</v>
      </c>
      <c r="L1816" t="n">
        <v>0.625</v>
      </c>
      <c r="M1816" t="n">
        <v>0</v>
      </c>
    </row>
    <row r="1817" spans="1:13">
      <c r="A1817" s="1">
        <f>HYPERLINK("http://www.twitter.com/NathanBLawrence/status/942565069480529922", "942565069480529922")</f>
        <v/>
      </c>
      <c r="B1817" s="2" t="n">
        <v>43087.05554398148</v>
      </c>
      <c r="C1817" t="n">
        <v>0</v>
      </c>
      <c r="D1817" t="n">
        <v>0</v>
      </c>
      <c r="E1817" t="s">
        <v>1827</v>
      </c>
      <c r="F1817" t="s"/>
      <c r="G1817" t="s"/>
      <c r="H1817" t="s"/>
      <c r="I1817" t="s"/>
      <c r="J1817" t="n">
        <v>0.6369</v>
      </c>
      <c r="K1817" t="n">
        <v>0</v>
      </c>
      <c r="L1817" t="n">
        <v>0.435</v>
      </c>
      <c r="M1817" t="n">
        <v>0.5649999999999999</v>
      </c>
    </row>
    <row r="1818" spans="1:13">
      <c r="A1818" s="1">
        <f>HYPERLINK("http://www.twitter.com/NathanBLawrence/status/942468382204579847", "942468382204579847")</f>
        <v/>
      </c>
      <c r="B1818" s="2" t="n">
        <v>43086.78873842592</v>
      </c>
      <c r="C1818" t="n">
        <v>0</v>
      </c>
      <c r="D1818" t="n">
        <v>50</v>
      </c>
      <c r="E1818" t="s">
        <v>1828</v>
      </c>
      <c r="F1818" t="s"/>
      <c r="G1818" t="s"/>
      <c r="H1818" t="s"/>
      <c r="I1818" t="s"/>
      <c r="J1818" t="n">
        <v>-0.25</v>
      </c>
      <c r="K1818" t="n">
        <v>0.145</v>
      </c>
      <c r="L1818" t="n">
        <v>0.745</v>
      </c>
      <c r="M1818" t="n">
        <v>0.11</v>
      </c>
    </row>
    <row r="1819" spans="1:13">
      <c r="A1819" s="1">
        <f>HYPERLINK("http://www.twitter.com/NathanBLawrence/status/942417090358673410", "942417090358673410")</f>
        <v/>
      </c>
      <c r="B1819" s="2" t="n">
        <v>43086.64719907408</v>
      </c>
      <c r="C1819" t="n">
        <v>0</v>
      </c>
      <c r="D1819" t="n">
        <v>499</v>
      </c>
      <c r="E1819" t="s">
        <v>1829</v>
      </c>
      <c r="F1819">
        <f>HYPERLINK("http://pbs.twimg.com/media/DROSvnUW0AAOxUR.jpg", "http://pbs.twimg.com/media/DROSvnUW0AAOxUR.jpg")</f>
        <v/>
      </c>
      <c r="G1819" t="s"/>
      <c r="H1819" t="s"/>
      <c r="I1819" t="s"/>
      <c r="J1819" t="n">
        <v>0</v>
      </c>
      <c r="K1819" t="n">
        <v>0</v>
      </c>
      <c r="L1819" t="n">
        <v>1</v>
      </c>
      <c r="M1819" t="n">
        <v>0</v>
      </c>
    </row>
    <row r="1820" spans="1:13">
      <c r="A1820" s="1">
        <f>HYPERLINK("http://www.twitter.com/NathanBLawrence/status/942413179732316161", "942413179732316161")</f>
        <v/>
      </c>
      <c r="B1820" s="2" t="n">
        <v>43086.63640046296</v>
      </c>
      <c r="C1820" t="n">
        <v>0</v>
      </c>
      <c r="D1820" t="n">
        <v>3</v>
      </c>
      <c r="E1820" t="s">
        <v>1830</v>
      </c>
      <c r="F1820" t="s"/>
      <c r="G1820" t="s"/>
      <c r="H1820" t="s"/>
      <c r="I1820" t="s"/>
      <c r="J1820" t="n">
        <v>0</v>
      </c>
      <c r="K1820" t="n">
        <v>0</v>
      </c>
      <c r="L1820" t="n">
        <v>1</v>
      </c>
      <c r="M1820" t="n">
        <v>0</v>
      </c>
    </row>
    <row r="1821" spans="1:13">
      <c r="A1821" s="1">
        <f>HYPERLINK("http://www.twitter.com/NathanBLawrence/status/942411682382602240", "942411682382602240")</f>
        <v/>
      </c>
      <c r="B1821" s="2" t="n">
        <v>43086.63226851852</v>
      </c>
      <c r="C1821" t="n">
        <v>1</v>
      </c>
      <c r="D1821" t="n">
        <v>1</v>
      </c>
      <c r="E1821" t="s">
        <v>1831</v>
      </c>
      <c r="F1821" t="s"/>
      <c r="G1821" t="s"/>
      <c r="H1821" t="s"/>
      <c r="I1821" t="s"/>
      <c r="J1821" t="n">
        <v>0.9164</v>
      </c>
      <c r="K1821" t="n">
        <v>0.111</v>
      </c>
      <c r="L1821" t="n">
        <v>0.497</v>
      </c>
      <c r="M1821" t="n">
        <v>0.392</v>
      </c>
    </row>
    <row r="1822" spans="1:13">
      <c r="A1822" s="1">
        <f>HYPERLINK("http://www.twitter.com/NathanBLawrence/status/942409799358189569", "942409799358189569")</f>
        <v/>
      </c>
      <c r="B1822" s="2" t="n">
        <v>43086.62707175926</v>
      </c>
      <c r="C1822" t="n">
        <v>0</v>
      </c>
      <c r="D1822" t="n">
        <v>17</v>
      </c>
      <c r="E1822" t="s">
        <v>1832</v>
      </c>
      <c r="F1822" t="s"/>
      <c r="G1822" t="s"/>
      <c r="H1822" t="s"/>
      <c r="I1822" t="s"/>
      <c r="J1822" t="n">
        <v>0.6125</v>
      </c>
      <c r="K1822" t="n">
        <v>0</v>
      </c>
      <c r="L1822" t="n">
        <v>0.667</v>
      </c>
      <c r="M1822" t="n">
        <v>0.333</v>
      </c>
    </row>
    <row r="1823" spans="1:13">
      <c r="A1823" s="1">
        <f>HYPERLINK("http://www.twitter.com/NathanBLawrence/status/942407626071175170", "942407626071175170")</f>
        <v/>
      </c>
      <c r="B1823" s="2" t="n">
        <v>43086.62107638889</v>
      </c>
      <c r="C1823" t="n">
        <v>1</v>
      </c>
      <c r="D1823" t="n">
        <v>0</v>
      </c>
      <c r="E1823" t="s">
        <v>1833</v>
      </c>
      <c r="F1823" t="s"/>
      <c r="G1823" t="s"/>
      <c r="H1823" t="s"/>
      <c r="I1823" t="s"/>
      <c r="J1823" t="n">
        <v>0.3612</v>
      </c>
      <c r="K1823" t="n">
        <v>0</v>
      </c>
      <c r="L1823" t="n">
        <v>0.706</v>
      </c>
      <c r="M1823" t="n">
        <v>0.294</v>
      </c>
    </row>
    <row r="1824" spans="1:13">
      <c r="A1824" s="1">
        <f>HYPERLINK("http://www.twitter.com/NathanBLawrence/status/942216887718567943", "942216887718567943")</f>
        <v/>
      </c>
      <c r="B1824" s="2" t="n">
        <v>43086.09474537037</v>
      </c>
      <c r="C1824" t="n">
        <v>1</v>
      </c>
      <c r="D1824" t="n">
        <v>1</v>
      </c>
      <c r="E1824" t="s">
        <v>1834</v>
      </c>
      <c r="F1824" t="s"/>
      <c r="G1824" t="s"/>
      <c r="H1824" t="s"/>
      <c r="I1824" t="s"/>
      <c r="J1824" t="n">
        <v>0</v>
      </c>
      <c r="K1824" t="n">
        <v>0</v>
      </c>
      <c r="L1824" t="n">
        <v>1</v>
      </c>
      <c r="M1824" t="n">
        <v>0</v>
      </c>
    </row>
    <row r="1825" spans="1:13">
      <c r="A1825" s="1">
        <f>HYPERLINK("http://www.twitter.com/NathanBLawrence/status/942190824464535552", "942190824464535552")</f>
        <v/>
      </c>
      <c r="B1825" s="2" t="n">
        <v>43086.02282407408</v>
      </c>
      <c r="C1825" t="n">
        <v>0</v>
      </c>
      <c r="D1825" t="n">
        <v>3971</v>
      </c>
      <c r="E1825" t="s">
        <v>1835</v>
      </c>
      <c r="F1825">
        <f>HYPERLINK("https://video.twimg.com/amplify_video/942146189495062528/vid/1280x720/qqnnzeUBVsUyL4yr.mp4", "https://video.twimg.com/amplify_video/942146189495062528/vid/1280x720/qqnnzeUBVsUyL4yr.mp4")</f>
        <v/>
      </c>
      <c r="G1825" t="s"/>
      <c r="H1825" t="s"/>
      <c r="I1825" t="s"/>
      <c r="J1825" t="n">
        <v>0</v>
      </c>
      <c r="K1825" t="n">
        <v>0</v>
      </c>
      <c r="L1825" t="n">
        <v>1</v>
      </c>
      <c r="M1825" t="n">
        <v>0</v>
      </c>
    </row>
    <row r="1826" spans="1:13">
      <c r="A1826" s="1">
        <f>HYPERLINK("http://www.twitter.com/NathanBLawrence/status/942182675938447360", "942182675938447360")</f>
        <v/>
      </c>
      <c r="B1826" s="2" t="n">
        <v>43086.00033564815</v>
      </c>
      <c r="C1826" t="n">
        <v>0</v>
      </c>
      <c r="D1826" t="n">
        <v>0</v>
      </c>
      <c r="E1826" t="s">
        <v>1836</v>
      </c>
      <c r="F1826" t="s"/>
      <c r="G1826" t="s"/>
      <c r="H1826" t="s"/>
      <c r="I1826" t="s"/>
      <c r="J1826" t="n">
        <v>0.3612</v>
      </c>
      <c r="K1826" t="n">
        <v>0</v>
      </c>
      <c r="L1826" t="n">
        <v>0.857</v>
      </c>
      <c r="M1826" t="n">
        <v>0.143</v>
      </c>
    </row>
    <row r="1827" spans="1:13">
      <c r="A1827" s="1">
        <f>HYPERLINK("http://www.twitter.com/NathanBLawrence/status/942181424744091648", "942181424744091648")</f>
        <v/>
      </c>
      <c r="B1827" s="2" t="n">
        <v>43085.99688657407</v>
      </c>
      <c r="C1827" t="n">
        <v>0</v>
      </c>
      <c r="D1827" t="n">
        <v>0</v>
      </c>
      <c r="E1827" t="s">
        <v>1837</v>
      </c>
      <c r="F1827" t="s"/>
      <c r="G1827" t="s"/>
      <c r="H1827" t="s"/>
      <c r="I1827" t="s"/>
      <c r="J1827" t="n">
        <v>-0.8095</v>
      </c>
      <c r="K1827" t="n">
        <v>0.42</v>
      </c>
      <c r="L1827" t="n">
        <v>0.48</v>
      </c>
      <c r="M1827" t="n">
        <v>0.1</v>
      </c>
    </row>
    <row r="1828" spans="1:13">
      <c r="A1828" s="1">
        <f>HYPERLINK("http://www.twitter.com/NathanBLawrence/status/942176015354417153", "942176015354417153")</f>
        <v/>
      </c>
      <c r="B1828" s="2" t="n">
        <v>43085.98195601852</v>
      </c>
      <c r="C1828" t="n">
        <v>1</v>
      </c>
      <c r="D1828" t="n">
        <v>1</v>
      </c>
      <c r="E1828" t="s">
        <v>1838</v>
      </c>
      <c r="F1828" t="s"/>
      <c r="G1828" t="s"/>
      <c r="H1828" t="s"/>
      <c r="I1828" t="s"/>
      <c r="J1828" t="n">
        <v>-0.4824</v>
      </c>
      <c r="K1828" t="n">
        <v>0.343</v>
      </c>
      <c r="L1828" t="n">
        <v>0.657</v>
      </c>
      <c r="M1828" t="n">
        <v>0</v>
      </c>
    </row>
    <row r="1829" spans="1:13">
      <c r="A1829" s="1">
        <f>HYPERLINK("http://www.twitter.com/NathanBLawrence/status/942145669564895232", "942145669564895232")</f>
        <v/>
      </c>
      <c r="B1829" s="2" t="n">
        <v>43085.89821759259</v>
      </c>
      <c r="C1829" t="n">
        <v>0</v>
      </c>
      <c r="D1829" t="n">
        <v>0</v>
      </c>
      <c r="E1829" t="s">
        <v>1839</v>
      </c>
      <c r="F1829">
        <f>HYPERLINK("http://pbs.twimg.com/media/DRMsfMnUEAEG-9-.jpg", "http://pbs.twimg.com/media/DRMsfMnUEAEG-9-.jpg")</f>
        <v/>
      </c>
      <c r="G1829" t="s"/>
      <c r="H1829" t="s"/>
      <c r="I1829" t="s"/>
      <c r="J1829" t="n">
        <v>0</v>
      </c>
      <c r="K1829" t="n">
        <v>0</v>
      </c>
      <c r="L1829" t="n">
        <v>1</v>
      </c>
      <c r="M1829" t="n">
        <v>0</v>
      </c>
    </row>
    <row r="1830" spans="1:13">
      <c r="A1830" s="1">
        <f>HYPERLINK("http://www.twitter.com/NathanBLawrence/status/942118440814415874", "942118440814415874")</f>
        <v/>
      </c>
      <c r="B1830" s="2" t="n">
        <v>43085.8230787037</v>
      </c>
      <c r="C1830" t="n">
        <v>0</v>
      </c>
      <c r="D1830" t="n">
        <v>396</v>
      </c>
      <c r="E1830" t="s">
        <v>1840</v>
      </c>
      <c r="F1830" t="s"/>
      <c r="G1830" t="s"/>
      <c r="H1830" t="s"/>
      <c r="I1830" t="s"/>
      <c r="J1830" t="n">
        <v>0.1695</v>
      </c>
      <c r="K1830" t="n">
        <v>0</v>
      </c>
      <c r="L1830" t="n">
        <v>0.93</v>
      </c>
      <c r="M1830" t="n">
        <v>0.07000000000000001</v>
      </c>
    </row>
    <row r="1831" spans="1:13">
      <c r="A1831" s="1">
        <f>HYPERLINK("http://www.twitter.com/NathanBLawrence/status/942117778705866752", "942117778705866752")</f>
        <v/>
      </c>
      <c r="B1831" s="2" t="n">
        <v>43085.82125</v>
      </c>
      <c r="C1831" t="n">
        <v>0</v>
      </c>
      <c r="D1831" t="n">
        <v>54</v>
      </c>
      <c r="E1831" t="s">
        <v>1841</v>
      </c>
      <c r="F1831" t="s"/>
      <c r="G1831" t="s"/>
      <c r="H1831" t="s"/>
      <c r="I1831" t="s"/>
      <c r="J1831" t="n">
        <v>0.3182</v>
      </c>
      <c r="K1831" t="n">
        <v>0</v>
      </c>
      <c r="L1831" t="n">
        <v>0.874</v>
      </c>
      <c r="M1831" t="n">
        <v>0.126</v>
      </c>
    </row>
    <row r="1832" spans="1:13">
      <c r="A1832" s="1">
        <f>HYPERLINK("http://www.twitter.com/NathanBLawrence/status/942022875342569472", "942022875342569472")</f>
        <v/>
      </c>
      <c r="B1832" s="2" t="n">
        <v>43085.559375</v>
      </c>
      <c r="C1832" t="n">
        <v>5</v>
      </c>
      <c r="D1832" t="n">
        <v>0</v>
      </c>
      <c r="E1832" t="s">
        <v>1842</v>
      </c>
      <c r="F1832" t="s"/>
      <c r="G1832" t="s"/>
      <c r="H1832" t="s"/>
      <c r="I1832" t="s"/>
      <c r="J1832" t="n">
        <v>-0.7946</v>
      </c>
      <c r="K1832" t="n">
        <v>0.282</v>
      </c>
      <c r="L1832" t="n">
        <v>0.718</v>
      </c>
      <c r="M1832" t="n">
        <v>0</v>
      </c>
    </row>
    <row r="1833" spans="1:13">
      <c r="A1833" s="1">
        <f>HYPERLINK("http://www.twitter.com/NathanBLawrence/status/941886252793716736", "941886252793716736")</f>
        <v/>
      </c>
      <c r="B1833" s="2" t="n">
        <v>43085.18236111111</v>
      </c>
      <c r="C1833" t="n">
        <v>0</v>
      </c>
      <c r="D1833" t="n">
        <v>17634</v>
      </c>
      <c r="E1833" t="s">
        <v>1843</v>
      </c>
      <c r="F1833">
        <f>HYPERLINK("https://video.twimg.com/ext_tw_video/941353208932454405/pu/vid/640x360/bWuEdncyMQO_eivb.mp4", "https://video.twimg.com/ext_tw_video/941353208932454405/pu/vid/640x360/bWuEdncyMQO_eivb.mp4")</f>
        <v/>
      </c>
      <c r="G1833" t="s"/>
      <c r="H1833" t="s"/>
      <c r="I1833" t="s"/>
      <c r="J1833" t="n">
        <v>0.1027</v>
      </c>
      <c r="K1833" t="n">
        <v>0.089</v>
      </c>
      <c r="L1833" t="n">
        <v>0.805</v>
      </c>
      <c r="M1833" t="n">
        <v>0.106</v>
      </c>
    </row>
    <row r="1834" spans="1:13">
      <c r="A1834" s="1">
        <f>HYPERLINK("http://www.twitter.com/NathanBLawrence/status/941885932776644608", "941885932776644608")</f>
        <v/>
      </c>
      <c r="B1834" s="2" t="n">
        <v>43085.18148148148</v>
      </c>
      <c r="C1834" t="n">
        <v>0</v>
      </c>
      <c r="D1834" t="n">
        <v>13404</v>
      </c>
      <c r="E1834" t="s">
        <v>1844</v>
      </c>
      <c r="F1834" t="s"/>
      <c r="G1834" t="s"/>
      <c r="H1834" t="s"/>
      <c r="I1834" t="s"/>
      <c r="J1834" t="n">
        <v>0.8172</v>
      </c>
      <c r="K1834" t="n">
        <v>0</v>
      </c>
      <c r="L1834" t="n">
        <v>0.572</v>
      </c>
      <c r="M1834" t="n">
        <v>0.428</v>
      </c>
    </row>
    <row r="1835" spans="1:13">
      <c r="A1835" s="1">
        <f>HYPERLINK("http://www.twitter.com/NathanBLawrence/status/941869675163549696", "941869675163549696")</f>
        <v/>
      </c>
      <c r="B1835" s="2" t="n">
        <v>43085.13662037037</v>
      </c>
      <c r="C1835" t="n">
        <v>0</v>
      </c>
      <c r="D1835" t="n">
        <v>0</v>
      </c>
      <c r="E1835" t="s">
        <v>1845</v>
      </c>
      <c r="F1835" t="s"/>
      <c r="G1835" t="s"/>
      <c r="H1835" t="s"/>
      <c r="I1835" t="s"/>
      <c r="J1835" t="n">
        <v>0.3818</v>
      </c>
      <c r="K1835" t="n">
        <v>0</v>
      </c>
      <c r="L1835" t="n">
        <v>0.794</v>
      </c>
      <c r="M1835" t="n">
        <v>0.206</v>
      </c>
    </row>
    <row r="1836" spans="1:13">
      <c r="A1836" s="1">
        <f>HYPERLINK("http://www.twitter.com/NathanBLawrence/status/941869328357560320", "941869328357560320")</f>
        <v/>
      </c>
      <c r="B1836" s="2" t="n">
        <v>43085.13565972223</v>
      </c>
      <c r="C1836" t="n">
        <v>0</v>
      </c>
      <c r="D1836" t="n">
        <v>0</v>
      </c>
      <c r="E1836" t="s">
        <v>1846</v>
      </c>
      <c r="F1836" t="s"/>
      <c r="G1836" t="s"/>
      <c r="H1836" t="s"/>
      <c r="I1836" t="s"/>
      <c r="J1836" t="n">
        <v>0</v>
      </c>
      <c r="K1836" t="n">
        <v>0</v>
      </c>
      <c r="L1836" t="n">
        <v>1</v>
      </c>
      <c r="M1836" t="n">
        <v>0</v>
      </c>
    </row>
    <row r="1837" spans="1:13">
      <c r="A1837" s="1">
        <f>HYPERLINK("http://www.twitter.com/NathanBLawrence/status/941866262510137344", "941866262510137344")</f>
        <v/>
      </c>
      <c r="B1837" s="2" t="n">
        <v>43085.12719907407</v>
      </c>
      <c r="C1837" t="n">
        <v>0</v>
      </c>
      <c r="D1837" t="n">
        <v>0</v>
      </c>
      <c r="E1837" t="s">
        <v>1847</v>
      </c>
      <c r="F1837" t="s"/>
      <c r="G1837" t="s"/>
      <c r="H1837" t="s"/>
      <c r="I1837" t="s"/>
      <c r="J1837" t="n">
        <v>0.3818</v>
      </c>
      <c r="K1837" t="n">
        <v>0</v>
      </c>
      <c r="L1837" t="n">
        <v>0.698</v>
      </c>
      <c r="M1837" t="n">
        <v>0.302</v>
      </c>
    </row>
    <row r="1838" spans="1:13">
      <c r="A1838" s="1">
        <f>HYPERLINK("http://www.twitter.com/NathanBLawrence/status/941836066754928640", "941836066754928640")</f>
        <v/>
      </c>
      <c r="B1838" s="2" t="n">
        <v>43085.04387731481</v>
      </c>
      <c r="C1838" t="n">
        <v>0</v>
      </c>
      <c r="D1838" t="n">
        <v>0</v>
      </c>
      <c r="E1838" t="s">
        <v>1848</v>
      </c>
      <c r="F1838" t="s"/>
      <c r="G1838" t="s"/>
      <c r="H1838" t="s"/>
      <c r="I1838" t="s"/>
      <c r="J1838" t="n">
        <v>0.3612</v>
      </c>
      <c r="K1838" t="n">
        <v>0</v>
      </c>
      <c r="L1838" t="n">
        <v>0.783</v>
      </c>
      <c r="M1838" t="n">
        <v>0.217</v>
      </c>
    </row>
    <row r="1839" spans="1:13">
      <c r="A1839" s="1">
        <f>HYPERLINK("http://www.twitter.com/NathanBLawrence/status/941782020484722688", "941782020484722688")</f>
        <v/>
      </c>
      <c r="B1839" s="2" t="n">
        <v>43084.8947337963</v>
      </c>
      <c r="C1839" t="n">
        <v>0</v>
      </c>
      <c r="D1839" t="n">
        <v>6</v>
      </c>
      <c r="E1839" t="s">
        <v>1849</v>
      </c>
      <c r="F1839" t="s"/>
      <c r="G1839" t="s"/>
      <c r="H1839" t="s"/>
      <c r="I1839" t="s"/>
      <c r="J1839" t="n">
        <v>-0.6588000000000001</v>
      </c>
      <c r="K1839" t="n">
        <v>0.166</v>
      </c>
      <c r="L1839" t="n">
        <v>0.834</v>
      </c>
      <c r="M1839" t="n">
        <v>0</v>
      </c>
    </row>
    <row r="1840" spans="1:13">
      <c r="A1840" s="1">
        <f>HYPERLINK("http://www.twitter.com/NathanBLawrence/status/941781588865699840", "941781588865699840")</f>
        <v/>
      </c>
      <c r="B1840" s="2" t="n">
        <v>43084.89354166666</v>
      </c>
      <c r="C1840" t="n">
        <v>0</v>
      </c>
      <c r="D1840" t="n">
        <v>0</v>
      </c>
      <c r="E1840" t="s">
        <v>1850</v>
      </c>
      <c r="F1840" t="s"/>
      <c r="G1840" t="s"/>
      <c r="H1840" t="s"/>
      <c r="I1840" t="s"/>
      <c r="J1840" t="n">
        <v>0.6467000000000001</v>
      </c>
      <c r="K1840" t="n">
        <v>0</v>
      </c>
      <c r="L1840" t="n">
        <v>0.678</v>
      </c>
      <c r="M1840" t="n">
        <v>0.322</v>
      </c>
    </row>
    <row r="1841" spans="1:13">
      <c r="A1841" s="1">
        <f>HYPERLINK("http://www.twitter.com/NathanBLawrence/status/941776029366018049", "941776029366018049")</f>
        <v/>
      </c>
      <c r="B1841" s="2" t="n">
        <v>43084.87820601852</v>
      </c>
      <c r="C1841" t="n">
        <v>0</v>
      </c>
      <c r="D1841" t="n">
        <v>0</v>
      </c>
      <c r="E1841" t="s">
        <v>1851</v>
      </c>
      <c r="F1841" t="s"/>
      <c r="G1841" t="s"/>
      <c r="H1841" t="s"/>
      <c r="I1841" t="s"/>
      <c r="J1841" t="n">
        <v>-0.8228</v>
      </c>
      <c r="K1841" t="n">
        <v>0.5590000000000001</v>
      </c>
      <c r="L1841" t="n">
        <v>0.441</v>
      </c>
      <c r="M1841" t="n">
        <v>0</v>
      </c>
    </row>
    <row r="1842" spans="1:13">
      <c r="A1842" s="1">
        <f>HYPERLINK("http://www.twitter.com/NathanBLawrence/status/941773043499786243", "941773043499786243")</f>
        <v/>
      </c>
      <c r="B1842" s="2" t="n">
        <v>43084.86996527778</v>
      </c>
      <c r="C1842" t="n">
        <v>1</v>
      </c>
      <c r="D1842" t="n">
        <v>0</v>
      </c>
      <c r="E1842" t="s">
        <v>1852</v>
      </c>
      <c r="F1842" t="s"/>
      <c r="G1842" t="s"/>
      <c r="H1842" t="s"/>
      <c r="I1842" t="s"/>
      <c r="J1842" t="n">
        <v>-0.0258</v>
      </c>
      <c r="K1842" t="n">
        <v>0.131</v>
      </c>
      <c r="L1842" t="n">
        <v>0.74</v>
      </c>
      <c r="M1842" t="n">
        <v>0.129</v>
      </c>
    </row>
    <row r="1843" spans="1:13">
      <c r="A1843" s="1">
        <f>HYPERLINK("http://www.twitter.com/NathanBLawrence/status/941762753655689217", "941762753655689217")</f>
        <v/>
      </c>
      <c r="B1843" s="2" t="n">
        <v>43084.84157407407</v>
      </c>
      <c r="C1843" t="n">
        <v>0</v>
      </c>
      <c r="D1843" t="n">
        <v>0</v>
      </c>
      <c r="E1843" t="s">
        <v>1853</v>
      </c>
      <c r="F1843" t="s"/>
      <c r="G1843" t="s"/>
      <c r="H1843" t="s"/>
      <c r="I1843" t="s"/>
      <c r="J1843" t="n">
        <v>0</v>
      </c>
      <c r="K1843" t="n">
        <v>0</v>
      </c>
      <c r="L1843" t="n">
        <v>1</v>
      </c>
      <c r="M1843" t="n">
        <v>0</v>
      </c>
    </row>
    <row r="1844" spans="1:13">
      <c r="A1844" s="1">
        <f>HYPERLINK("http://www.twitter.com/NathanBLawrence/status/941746473015922688", "941746473015922688")</f>
        <v/>
      </c>
      <c r="B1844" s="2" t="n">
        <v>43084.79664351852</v>
      </c>
      <c r="C1844" t="n">
        <v>0</v>
      </c>
      <c r="D1844" t="n">
        <v>0</v>
      </c>
      <c r="E1844" t="s">
        <v>1854</v>
      </c>
      <c r="F1844" t="s"/>
      <c r="G1844" t="s"/>
      <c r="H1844" t="s"/>
      <c r="I1844" t="s"/>
      <c r="J1844" t="n">
        <v>0</v>
      </c>
      <c r="K1844" t="n">
        <v>0</v>
      </c>
      <c r="L1844" t="n">
        <v>1</v>
      </c>
      <c r="M1844" t="n">
        <v>0</v>
      </c>
    </row>
    <row r="1845" spans="1:13">
      <c r="A1845" s="1">
        <f>HYPERLINK("http://www.twitter.com/NathanBLawrence/status/941723420387000320", "941723420387000320")</f>
        <v/>
      </c>
      <c r="B1845" s="2" t="n">
        <v>43084.73303240741</v>
      </c>
      <c r="C1845" t="n">
        <v>0</v>
      </c>
      <c r="D1845" t="n">
        <v>0</v>
      </c>
      <c r="E1845" t="s">
        <v>1855</v>
      </c>
      <c r="F1845" t="s"/>
      <c r="G1845" t="s"/>
      <c r="H1845" t="s"/>
      <c r="I1845" t="s"/>
      <c r="J1845" t="n">
        <v>0</v>
      </c>
      <c r="K1845" t="n">
        <v>0</v>
      </c>
      <c r="L1845" t="n">
        <v>1</v>
      </c>
      <c r="M1845" t="n">
        <v>0</v>
      </c>
    </row>
    <row r="1846" spans="1:13">
      <c r="A1846" s="1">
        <f>HYPERLINK("http://www.twitter.com/NathanBLawrence/status/941719608058433536", "941719608058433536")</f>
        <v/>
      </c>
      <c r="B1846" s="2" t="n">
        <v>43084.72251157407</v>
      </c>
      <c r="C1846" t="n">
        <v>0</v>
      </c>
      <c r="D1846" t="n">
        <v>0</v>
      </c>
      <c r="E1846" t="s">
        <v>1856</v>
      </c>
      <c r="F1846" t="s"/>
      <c r="G1846" t="s"/>
      <c r="H1846" t="s"/>
      <c r="I1846" t="s"/>
      <c r="J1846" t="n">
        <v>0</v>
      </c>
      <c r="K1846" t="n">
        <v>0</v>
      </c>
      <c r="L1846" t="n">
        <v>1</v>
      </c>
      <c r="M1846" t="n">
        <v>0</v>
      </c>
    </row>
    <row r="1847" spans="1:13">
      <c r="A1847" s="1">
        <f>HYPERLINK("http://www.twitter.com/NathanBLawrence/status/941711339457777670", "941711339457777670")</f>
        <v/>
      </c>
      <c r="B1847" s="2" t="n">
        <v>43084.69969907407</v>
      </c>
      <c r="C1847" t="n">
        <v>0</v>
      </c>
      <c r="D1847" t="n">
        <v>525</v>
      </c>
      <c r="E1847" t="s">
        <v>1857</v>
      </c>
      <c r="F1847" t="s"/>
      <c r="G1847" t="s"/>
      <c r="H1847" t="s"/>
      <c r="I1847" t="s"/>
      <c r="J1847" t="n">
        <v>0</v>
      </c>
      <c r="K1847" t="n">
        <v>0</v>
      </c>
      <c r="L1847" t="n">
        <v>1</v>
      </c>
      <c r="M1847" t="n">
        <v>0</v>
      </c>
    </row>
    <row r="1848" spans="1:13">
      <c r="A1848" s="1">
        <f>HYPERLINK("http://www.twitter.com/NathanBLawrence/status/941703899744030721", "941703899744030721")</f>
        <v/>
      </c>
      <c r="B1848" s="2" t="n">
        <v>43084.67916666667</v>
      </c>
      <c r="C1848" t="n">
        <v>0</v>
      </c>
      <c r="D1848" t="n">
        <v>0</v>
      </c>
      <c r="E1848" t="s">
        <v>1858</v>
      </c>
      <c r="F1848" t="s"/>
      <c r="G1848" t="s"/>
      <c r="H1848" t="s"/>
      <c r="I1848" t="s"/>
      <c r="J1848" t="n">
        <v>-0.5423</v>
      </c>
      <c r="K1848" t="n">
        <v>0.28</v>
      </c>
      <c r="L1848" t="n">
        <v>0.72</v>
      </c>
      <c r="M1848" t="n">
        <v>0</v>
      </c>
    </row>
    <row r="1849" spans="1:13">
      <c r="A1849" s="1">
        <f>HYPERLINK("http://www.twitter.com/NathanBLawrence/status/941651940383092736", "941651940383092736")</f>
        <v/>
      </c>
      <c r="B1849" s="2" t="n">
        <v>43084.53578703704</v>
      </c>
      <c r="C1849" t="n">
        <v>0</v>
      </c>
      <c r="D1849" t="n">
        <v>0</v>
      </c>
      <c r="E1849" t="s">
        <v>1859</v>
      </c>
      <c r="F1849" t="s"/>
      <c r="G1849" t="s"/>
      <c r="H1849" t="s"/>
      <c r="I1849" t="s"/>
      <c r="J1849" t="n">
        <v>0</v>
      </c>
      <c r="K1849" t="n">
        <v>0</v>
      </c>
      <c r="L1849" t="n">
        <v>1</v>
      </c>
      <c r="M1849" t="n">
        <v>0</v>
      </c>
    </row>
    <row r="1850" spans="1:13">
      <c r="A1850" s="1">
        <f>HYPERLINK("http://www.twitter.com/NathanBLawrence/status/941630073328881664", "941630073328881664")</f>
        <v/>
      </c>
      <c r="B1850" s="2" t="n">
        <v>43084.47543981481</v>
      </c>
      <c r="C1850" t="n">
        <v>0</v>
      </c>
      <c r="D1850" t="n">
        <v>8518</v>
      </c>
      <c r="E1850" t="s">
        <v>1860</v>
      </c>
      <c r="F1850" t="s"/>
      <c r="G1850" t="s"/>
      <c r="H1850" t="s"/>
      <c r="I1850" t="s"/>
      <c r="J1850" t="n">
        <v>0.6124000000000001</v>
      </c>
      <c r="K1850" t="n">
        <v>0</v>
      </c>
      <c r="L1850" t="n">
        <v>0.722</v>
      </c>
      <c r="M1850" t="n">
        <v>0.278</v>
      </c>
    </row>
    <row r="1851" spans="1:13">
      <c r="A1851" s="1">
        <f>HYPERLINK("http://www.twitter.com/NathanBLawrence/status/941523783646576640", "941523783646576640")</f>
        <v/>
      </c>
      <c r="B1851" s="2" t="n">
        <v>43084.1821412037</v>
      </c>
      <c r="C1851" t="n">
        <v>0</v>
      </c>
      <c r="D1851" t="n">
        <v>0</v>
      </c>
      <c r="E1851" t="s">
        <v>1861</v>
      </c>
      <c r="F1851" t="s"/>
      <c r="G1851" t="s"/>
      <c r="H1851" t="s"/>
      <c r="I1851" t="s"/>
      <c r="J1851" t="n">
        <v>0</v>
      </c>
      <c r="K1851" t="n">
        <v>0</v>
      </c>
      <c r="L1851" t="n">
        <v>1</v>
      </c>
      <c r="M1851" t="n">
        <v>0</v>
      </c>
    </row>
    <row r="1852" spans="1:13">
      <c r="A1852" s="1">
        <f>HYPERLINK("http://www.twitter.com/NathanBLawrence/status/941480970871607299", "941480970871607299")</f>
        <v/>
      </c>
      <c r="B1852" s="2" t="n">
        <v>43084.06399305556</v>
      </c>
      <c r="C1852" t="n">
        <v>0</v>
      </c>
      <c r="D1852" t="n">
        <v>2</v>
      </c>
      <c r="E1852" t="s">
        <v>1862</v>
      </c>
      <c r="F1852">
        <f>HYPERLINK("http://pbs.twimg.com/media/DRDPaeDX4AARU9b.jpg", "http://pbs.twimg.com/media/DRDPaeDX4AARU9b.jpg")</f>
        <v/>
      </c>
      <c r="G1852" t="s"/>
      <c r="H1852" t="s"/>
      <c r="I1852" t="s"/>
      <c r="J1852" t="n">
        <v>0</v>
      </c>
      <c r="K1852" t="n">
        <v>0</v>
      </c>
      <c r="L1852" t="n">
        <v>1</v>
      </c>
      <c r="M1852" t="n">
        <v>0</v>
      </c>
    </row>
    <row r="1853" spans="1:13">
      <c r="A1853" s="1">
        <f>HYPERLINK("http://www.twitter.com/NathanBLawrence/status/941416598606438400", "941416598606438400")</f>
        <v/>
      </c>
      <c r="B1853" s="2" t="n">
        <v>43083.88636574074</v>
      </c>
      <c r="C1853" t="n">
        <v>0</v>
      </c>
      <c r="D1853" t="n">
        <v>0</v>
      </c>
      <c r="E1853" t="s">
        <v>1863</v>
      </c>
      <c r="F1853" t="s"/>
      <c r="G1853" t="s"/>
      <c r="H1853" t="s"/>
      <c r="I1853" t="s"/>
      <c r="J1853" t="n">
        <v>-0.0258</v>
      </c>
      <c r="K1853" t="n">
        <v>0.078</v>
      </c>
      <c r="L1853" t="n">
        <v>0.85</v>
      </c>
      <c r="M1853" t="n">
        <v>0.07199999999999999</v>
      </c>
    </row>
    <row r="1854" spans="1:13">
      <c r="A1854" s="1">
        <f>HYPERLINK("http://www.twitter.com/NathanBLawrence/status/941373111282356224", "941373111282356224")</f>
        <v/>
      </c>
      <c r="B1854" s="2" t="n">
        <v>43083.76636574074</v>
      </c>
      <c r="C1854" t="n">
        <v>0</v>
      </c>
      <c r="D1854" t="n">
        <v>0</v>
      </c>
      <c r="E1854" t="s">
        <v>1864</v>
      </c>
      <c r="F1854" t="s"/>
      <c r="G1854" t="s"/>
      <c r="H1854" t="s"/>
      <c r="I1854" t="s"/>
      <c r="J1854" t="n">
        <v>0</v>
      </c>
      <c r="K1854" t="n">
        <v>0</v>
      </c>
      <c r="L1854" t="n">
        <v>1</v>
      </c>
      <c r="M1854" t="n">
        <v>0</v>
      </c>
    </row>
    <row r="1855" spans="1:13">
      <c r="A1855" s="1">
        <f>HYPERLINK("http://www.twitter.com/NathanBLawrence/status/941355878208475138", "941355878208475138")</f>
        <v/>
      </c>
      <c r="B1855" s="2" t="n">
        <v>43083.71880787037</v>
      </c>
      <c r="C1855" t="n">
        <v>0</v>
      </c>
      <c r="D1855" t="n">
        <v>880</v>
      </c>
      <c r="E1855" t="s">
        <v>1865</v>
      </c>
      <c r="F1855" t="s"/>
      <c r="G1855" t="s"/>
      <c r="H1855" t="s"/>
      <c r="I1855" t="s"/>
      <c r="J1855" t="n">
        <v>0</v>
      </c>
      <c r="K1855" t="n">
        <v>0</v>
      </c>
      <c r="L1855" t="n">
        <v>1</v>
      </c>
      <c r="M1855" t="n">
        <v>0</v>
      </c>
    </row>
    <row r="1856" spans="1:13">
      <c r="A1856" s="1">
        <f>HYPERLINK("http://www.twitter.com/NathanBLawrence/status/941315710348877824", "941315710348877824")</f>
        <v/>
      </c>
      <c r="B1856" s="2" t="n">
        <v>43083.60796296296</v>
      </c>
      <c r="C1856" t="n">
        <v>0</v>
      </c>
      <c r="D1856" t="n">
        <v>0</v>
      </c>
      <c r="E1856" t="s">
        <v>1866</v>
      </c>
      <c r="F1856" t="s"/>
      <c r="G1856" t="s"/>
      <c r="H1856" t="s"/>
      <c r="I1856" t="s"/>
      <c r="J1856" t="n">
        <v>0</v>
      </c>
      <c r="K1856" t="n">
        <v>0</v>
      </c>
      <c r="L1856" t="n">
        <v>1</v>
      </c>
      <c r="M1856" t="n">
        <v>0</v>
      </c>
    </row>
    <row r="1857" spans="1:13">
      <c r="A1857" s="1">
        <f>HYPERLINK("http://www.twitter.com/NathanBLawrence/status/941106080591106048", "941106080591106048")</f>
        <v/>
      </c>
      <c r="B1857" s="2" t="n">
        <v>43083.02950231481</v>
      </c>
      <c r="C1857" t="n">
        <v>2</v>
      </c>
      <c r="D1857" t="n">
        <v>0</v>
      </c>
      <c r="E1857" t="s">
        <v>1867</v>
      </c>
      <c r="F1857" t="s"/>
      <c r="G1857" t="s"/>
      <c r="H1857" t="s"/>
      <c r="I1857" t="s"/>
      <c r="J1857" t="n">
        <v>0</v>
      </c>
      <c r="K1857" t="n">
        <v>0</v>
      </c>
      <c r="L1857" t="n">
        <v>1</v>
      </c>
      <c r="M1857" t="n">
        <v>0</v>
      </c>
    </row>
    <row r="1858" spans="1:13">
      <c r="A1858" s="1">
        <f>HYPERLINK("http://www.twitter.com/NathanBLawrence/status/941105854744539137", "941105854744539137")</f>
        <v/>
      </c>
      <c r="B1858" s="2" t="n">
        <v>43083.02887731481</v>
      </c>
      <c r="C1858" t="n">
        <v>0</v>
      </c>
      <c r="D1858" t="n">
        <v>135</v>
      </c>
      <c r="E1858" t="s">
        <v>1868</v>
      </c>
      <c r="F1858" t="s"/>
      <c r="G1858" t="s"/>
      <c r="H1858" t="s"/>
      <c r="I1858" t="s"/>
      <c r="J1858" t="n">
        <v>0.729</v>
      </c>
      <c r="K1858" t="n">
        <v>0</v>
      </c>
      <c r="L1858" t="n">
        <v>0.768</v>
      </c>
      <c r="M1858" t="n">
        <v>0.232</v>
      </c>
    </row>
    <row r="1859" spans="1:13">
      <c r="A1859" s="1">
        <f>HYPERLINK("http://www.twitter.com/NathanBLawrence/status/941105749752676352", "941105749752676352")</f>
        <v/>
      </c>
      <c r="B1859" s="2" t="n">
        <v>43083.02858796297</v>
      </c>
      <c r="C1859" t="n">
        <v>0</v>
      </c>
      <c r="D1859" t="n">
        <v>544</v>
      </c>
      <c r="E1859" t="s">
        <v>1869</v>
      </c>
      <c r="F1859">
        <f>HYPERLINK("https://video.twimg.com/ext_tw_video/939622253611929601/pu/vid/1280x720/EgGbCjdr7dLM8WM7.mp4", "https://video.twimg.com/ext_tw_video/939622253611929601/pu/vid/1280x720/EgGbCjdr7dLM8WM7.mp4")</f>
        <v/>
      </c>
      <c r="G1859" t="s"/>
      <c r="H1859" t="s"/>
      <c r="I1859" t="s"/>
      <c r="J1859" t="n">
        <v>0.6765</v>
      </c>
      <c r="K1859" t="n">
        <v>0.075</v>
      </c>
      <c r="L1859" t="n">
        <v>0.67</v>
      </c>
      <c r="M1859" t="n">
        <v>0.255</v>
      </c>
    </row>
    <row r="1860" spans="1:13">
      <c r="A1860" s="1">
        <f>HYPERLINK("http://www.twitter.com/NathanBLawrence/status/941102808924938240", "941102808924938240")</f>
        <v/>
      </c>
      <c r="B1860" s="2" t="n">
        <v>43083.02047453704</v>
      </c>
      <c r="C1860" t="n">
        <v>0</v>
      </c>
      <c r="D1860" t="n">
        <v>0</v>
      </c>
      <c r="E1860" t="s">
        <v>1870</v>
      </c>
      <c r="F1860" t="s"/>
      <c r="G1860" t="s"/>
      <c r="H1860" t="s"/>
      <c r="I1860" t="s"/>
      <c r="J1860" t="n">
        <v>-0.5673</v>
      </c>
      <c r="K1860" t="n">
        <v>0.234</v>
      </c>
      <c r="L1860" t="n">
        <v>0.766</v>
      </c>
      <c r="M1860" t="n">
        <v>0</v>
      </c>
    </row>
    <row r="1861" spans="1:13">
      <c r="A1861" s="1">
        <f>HYPERLINK("http://www.twitter.com/NathanBLawrence/status/941088922192531456", "941088922192531456")</f>
        <v/>
      </c>
      <c r="B1861" s="2" t="n">
        <v>43082.98215277777</v>
      </c>
      <c r="C1861" t="n">
        <v>0</v>
      </c>
      <c r="D1861" t="n">
        <v>0</v>
      </c>
      <c r="E1861" t="s">
        <v>1871</v>
      </c>
      <c r="F1861">
        <f>HYPERLINK("http://pbs.twimg.com/media/DQ9rYU-UEAIW9Sf.jpg", "http://pbs.twimg.com/media/DQ9rYU-UEAIW9Sf.jpg")</f>
        <v/>
      </c>
      <c r="G1861" t="s"/>
      <c r="H1861" t="s"/>
      <c r="I1861" t="s"/>
      <c r="J1861" t="n">
        <v>0</v>
      </c>
      <c r="K1861" t="n">
        <v>0</v>
      </c>
      <c r="L1861" t="n">
        <v>1</v>
      </c>
      <c r="M1861" t="n">
        <v>0</v>
      </c>
    </row>
    <row r="1862" spans="1:13">
      <c r="A1862" s="1">
        <f>HYPERLINK("http://www.twitter.com/NathanBLawrence/status/941057550346326017", "941057550346326017")</f>
        <v/>
      </c>
      <c r="B1862" s="2" t="n">
        <v>43082.8955787037</v>
      </c>
      <c r="C1862" t="n">
        <v>0</v>
      </c>
      <c r="D1862" t="n">
        <v>0</v>
      </c>
      <c r="E1862" t="s">
        <v>1872</v>
      </c>
      <c r="F1862" t="s"/>
      <c r="G1862" t="s"/>
      <c r="H1862" t="s"/>
      <c r="I1862" t="s"/>
      <c r="J1862" t="n">
        <v>0</v>
      </c>
      <c r="K1862" t="n">
        <v>0</v>
      </c>
      <c r="L1862" t="n">
        <v>1</v>
      </c>
      <c r="M1862" t="n">
        <v>0</v>
      </c>
    </row>
    <row r="1863" spans="1:13">
      <c r="A1863" s="1">
        <f>HYPERLINK("http://www.twitter.com/NathanBLawrence/status/941056507663220742", "941056507663220742")</f>
        <v/>
      </c>
      <c r="B1863" s="2" t="n">
        <v>43082.89270833333</v>
      </c>
      <c r="C1863" t="n">
        <v>0</v>
      </c>
      <c r="D1863" t="n">
        <v>3699</v>
      </c>
      <c r="E1863" t="s">
        <v>1873</v>
      </c>
      <c r="F1863">
        <f>HYPERLINK("http://pbs.twimg.com/media/DQ8f0AeXkAAcYy_.jpg", "http://pbs.twimg.com/media/DQ8f0AeXkAAcYy_.jpg")</f>
        <v/>
      </c>
      <c r="G1863" t="s"/>
      <c r="H1863" t="s"/>
      <c r="I1863" t="s"/>
      <c r="J1863" t="n">
        <v>0.4404</v>
      </c>
      <c r="K1863" t="n">
        <v>0</v>
      </c>
      <c r="L1863" t="n">
        <v>0.775</v>
      </c>
      <c r="M1863" t="n">
        <v>0.225</v>
      </c>
    </row>
    <row r="1864" spans="1:13">
      <c r="A1864" s="1">
        <f>HYPERLINK("http://www.twitter.com/NathanBLawrence/status/941008811925671936", "941008811925671936")</f>
        <v/>
      </c>
      <c r="B1864" s="2" t="n">
        <v>43082.76108796296</v>
      </c>
      <c r="C1864" t="n">
        <v>0</v>
      </c>
      <c r="D1864" t="n">
        <v>1019</v>
      </c>
      <c r="E1864" t="s">
        <v>1874</v>
      </c>
      <c r="F1864" t="s"/>
      <c r="G1864" t="s"/>
      <c r="H1864" t="s"/>
      <c r="I1864" t="s"/>
      <c r="J1864" t="n">
        <v>-0.5859</v>
      </c>
      <c r="K1864" t="n">
        <v>0.183</v>
      </c>
      <c r="L1864" t="n">
        <v>0.8169999999999999</v>
      </c>
      <c r="M1864" t="n">
        <v>0</v>
      </c>
    </row>
    <row r="1865" spans="1:13">
      <c r="A1865" s="1">
        <f>HYPERLINK("http://www.twitter.com/NathanBLawrence/status/940991742773547009", "940991742773547009")</f>
        <v/>
      </c>
      <c r="B1865" s="2" t="n">
        <v>43082.71398148148</v>
      </c>
      <c r="C1865" t="n">
        <v>2</v>
      </c>
      <c r="D1865" t="n">
        <v>0</v>
      </c>
      <c r="E1865" t="s">
        <v>1875</v>
      </c>
      <c r="F1865" t="s"/>
      <c r="G1865" t="s"/>
      <c r="H1865" t="s"/>
      <c r="I1865" t="s"/>
      <c r="J1865" t="n">
        <v>-0.1695</v>
      </c>
      <c r="K1865" t="n">
        <v>0.284</v>
      </c>
      <c r="L1865" t="n">
        <v>0.485</v>
      </c>
      <c r="M1865" t="n">
        <v>0.231</v>
      </c>
    </row>
    <row r="1866" spans="1:13">
      <c r="A1866" s="1">
        <f>HYPERLINK("http://www.twitter.com/NathanBLawrence/status/940990697775271936", "940990697775271936")</f>
        <v/>
      </c>
      <c r="B1866" s="2" t="n">
        <v>43082.71109953704</v>
      </c>
      <c r="C1866" t="n">
        <v>0</v>
      </c>
      <c r="D1866" t="n">
        <v>0</v>
      </c>
      <c r="E1866" t="s">
        <v>1876</v>
      </c>
      <c r="F1866" t="s"/>
      <c r="G1866" t="s"/>
      <c r="H1866" t="s"/>
      <c r="I1866" t="s"/>
      <c r="J1866" t="n">
        <v>0</v>
      </c>
      <c r="K1866" t="n">
        <v>0</v>
      </c>
      <c r="L1866" t="n">
        <v>1</v>
      </c>
      <c r="M1866" t="n">
        <v>0</v>
      </c>
    </row>
    <row r="1867" spans="1:13">
      <c r="A1867" s="1">
        <f>HYPERLINK("http://www.twitter.com/NathanBLawrence/status/940945431990857728", "940945431990857728")</f>
        <v/>
      </c>
      <c r="B1867" s="2" t="n">
        <v>43082.58619212963</v>
      </c>
      <c r="C1867" t="n">
        <v>1</v>
      </c>
      <c r="D1867" t="n">
        <v>0</v>
      </c>
      <c r="E1867" t="s">
        <v>1877</v>
      </c>
      <c r="F1867" t="s"/>
      <c r="G1867" t="s"/>
      <c r="H1867" t="s"/>
      <c r="I1867" t="s"/>
      <c r="J1867" t="n">
        <v>-0.024</v>
      </c>
      <c r="K1867" t="n">
        <v>0.165</v>
      </c>
      <c r="L1867" t="n">
        <v>0.676</v>
      </c>
      <c r="M1867" t="n">
        <v>0.159</v>
      </c>
    </row>
    <row r="1868" spans="1:13">
      <c r="A1868" s="1">
        <f>HYPERLINK("http://www.twitter.com/NathanBLawrence/status/940942042104041473", "940942042104041473")</f>
        <v/>
      </c>
      <c r="B1868" s="2" t="n">
        <v>43082.57684027778</v>
      </c>
      <c r="C1868" t="n">
        <v>0</v>
      </c>
      <c r="D1868" t="n">
        <v>4</v>
      </c>
      <c r="E1868" t="s">
        <v>1878</v>
      </c>
      <c r="F1868" t="s"/>
      <c r="G1868" t="s"/>
      <c r="H1868" t="s"/>
      <c r="I1868" t="s"/>
      <c r="J1868" t="n">
        <v>0</v>
      </c>
      <c r="K1868" t="n">
        <v>0</v>
      </c>
      <c r="L1868" t="n">
        <v>1</v>
      </c>
      <c r="M1868" t="n">
        <v>0</v>
      </c>
    </row>
    <row r="1869" spans="1:13">
      <c r="A1869" s="1">
        <f>HYPERLINK("http://www.twitter.com/NathanBLawrence/status/940933892986597376", "940933892986597376")</f>
        <v/>
      </c>
      <c r="B1869" s="2" t="n">
        <v>43082.55435185185</v>
      </c>
      <c r="C1869" t="n">
        <v>0</v>
      </c>
      <c r="D1869" t="n">
        <v>1960</v>
      </c>
      <c r="E1869" t="s">
        <v>1879</v>
      </c>
      <c r="F1869" t="s"/>
      <c r="G1869" t="s"/>
      <c r="H1869" t="s"/>
      <c r="I1869" t="s"/>
      <c r="J1869" t="n">
        <v>-0.128</v>
      </c>
      <c r="K1869" t="n">
        <v>0.099</v>
      </c>
      <c r="L1869" t="n">
        <v>0.782</v>
      </c>
      <c r="M1869" t="n">
        <v>0.119</v>
      </c>
    </row>
    <row r="1870" spans="1:13">
      <c r="A1870" s="1">
        <f>HYPERLINK("http://www.twitter.com/NathanBLawrence/status/940931090595962883", "940931090595962883")</f>
        <v/>
      </c>
      <c r="B1870" s="2" t="n">
        <v>43082.54662037037</v>
      </c>
      <c r="C1870" t="n">
        <v>0</v>
      </c>
      <c r="D1870" t="n">
        <v>0</v>
      </c>
      <c r="E1870" t="s">
        <v>1880</v>
      </c>
      <c r="F1870" t="s"/>
      <c r="G1870" t="s"/>
      <c r="H1870" t="s"/>
      <c r="I1870" t="s"/>
      <c r="J1870" t="n">
        <v>0</v>
      </c>
      <c r="K1870" t="n">
        <v>0</v>
      </c>
      <c r="L1870" t="n">
        <v>1</v>
      </c>
      <c r="M1870" t="n">
        <v>0</v>
      </c>
    </row>
    <row r="1871" spans="1:13">
      <c r="A1871" s="1">
        <f>HYPERLINK("http://www.twitter.com/NathanBLawrence/status/940930339580645376", "940930339580645376")</f>
        <v/>
      </c>
      <c r="B1871" s="2" t="n">
        <v>43082.54454861111</v>
      </c>
      <c r="C1871" t="n">
        <v>0</v>
      </c>
      <c r="D1871" t="n">
        <v>27908</v>
      </c>
      <c r="E1871" t="s">
        <v>1881</v>
      </c>
      <c r="F1871" t="s"/>
      <c r="G1871" t="s"/>
      <c r="H1871" t="s"/>
      <c r="I1871" t="s"/>
      <c r="J1871" t="n">
        <v>-0.7184</v>
      </c>
      <c r="K1871" t="n">
        <v>0.31</v>
      </c>
      <c r="L1871" t="n">
        <v>0.57</v>
      </c>
      <c r="M1871" t="n">
        <v>0.12</v>
      </c>
    </row>
    <row r="1872" spans="1:13">
      <c r="A1872" s="1">
        <f>HYPERLINK("http://www.twitter.com/NathanBLawrence/status/940904860077248513", "940904860077248513")</f>
        <v/>
      </c>
      <c r="B1872" s="2" t="n">
        <v>43082.47423611111</v>
      </c>
      <c r="C1872" t="n">
        <v>0</v>
      </c>
      <c r="D1872" t="n">
        <v>2926</v>
      </c>
      <c r="E1872" t="s">
        <v>1882</v>
      </c>
      <c r="F1872" t="s"/>
      <c r="G1872" t="s"/>
      <c r="H1872" t="s"/>
      <c r="I1872" t="s"/>
      <c r="J1872" t="n">
        <v>0.6486</v>
      </c>
      <c r="K1872" t="n">
        <v>0</v>
      </c>
      <c r="L1872" t="n">
        <v>0.388</v>
      </c>
      <c r="M1872" t="n">
        <v>0.612</v>
      </c>
    </row>
    <row r="1873" spans="1:13">
      <c r="A1873" s="1">
        <f>HYPERLINK("http://www.twitter.com/NathanBLawrence/status/940808091519668225", "940808091519668225")</f>
        <v/>
      </c>
      <c r="B1873" s="2" t="n">
        <v>43082.20721064815</v>
      </c>
      <c r="C1873" t="n">
        <v>4</v>
      </c>
      <c r="D1873" t="n">
        <v>1</v>
      </c>
      <c r="E1873" t="s">
        <v>1883</v>
      </c>
      <c r="F1873" t="s"/>
      <c r="G1873" t="s"/>
      <c r="H1873" t="s"/>
      <c r="I1873" t="s"/>
      <c r="J1873" t="n">
        <v>0</v>
      </c>
      <c r="K1873" t="n">
        <v>0</v>
      </c>
      <c r="L1873" t="n">
        <v>1</v>
      </c>
      <c r="M1873" t="n">
        <v>0</v>
      </c>
    </row>
    <row r="1874" spans="1:13">
      <c r="A1874" s="1">
        <f>HYPERLINK("http://www.twitter.com/NathanBLawrence/status/940803666805690369", "940803666805690369")</f>
        <v/>
      </c>
      <c r="B1874" s="2" t="n">
        <v>43082.195</v>
      </c>
      <c r="C1874" t="n">
        <v>0</v>
      </c>
      <c r="D1874" t="n">
        <v>3278</v>
      </c>
      <c r="E1874" t="s">
        <v>1884</v>
      </c>
      <c r="F1874" t="s"/>
      <c r="G1874" t="s"/>
      <c r="H1874" t="s"/>
      <c r="I1874" t="s"/>
      <c r="J1874" t="n">
        <v>0</v>
      </c>
      <c r="K1874" t="n">
        <v>0</v>
      </c>
      <c r="L1874" t="n">
        <v>1</v>
      </c>
      <c r="M1874" t="n">
        <v>0</v>
      </c>
    </row>
    <row r="1875" spans="1:13">
      <c r="A1875" s="1">
        <f>HYPERLINK("http://www.twitter.com/NathanBLawrence/status/940803026071277570", "940803026071277570")</f>
        <v/>
      </c>
      <c r="B1875" s="2" t="n">
        <v>43082.19322916667</v>
      </c>
      <c r="C1875" t="n">
        <v>0</v>
      </c>
      <c r="D1875" t="n">
        <v>0</v>
      </c>
      <c r="E1875" t="s">
        <v>1885</v>
      </c>
      <c r="F1875" t="s"/>
      <c r="G1875" t="s"/>
      <c r="H1875" t="s"/>
      <c r="I1875" t="s"/>
      <c r="J1875" t="n">
        <v>-0.9093</v>
      </c>
      <c r="K1875" t="n">
        <v>0.262</v>
      </c>
      <c r="L1875" t="n">
        <v>0.707</v>
      </c>
      <c r="M1875" t="n">
        <v>0.031</v>
      </c>
    </row>
    <row r="1876" spans="1:13">
      <c r="A1876" s="1">
        <f>HYPERLINK("http://www.twitter.com/NathanBLawrence/status/940802334434693121", "940802334434693121")</f>
        <v/>
      </c>
      <c r="B1876" s="2" t="n">
        <v>43082.19131944444</v>
      </c>
      <c r="C1876" t="n">
        <v>2</v>
      </c>
      <c r="D1876" t="n">
        <v>0</v>
      </c>
      <c r="E1876" t="s">
        <v>1886</v>
      </c>
      <c r="F1876" t="s"/>
      <c r="G1876" t="s"/>
      <c r="H1876" t="s"/>
      <c r="I1876" t="s"/>
      <c r="J1876" t="n">
        <v>0</v>
      </c>
      <c r="K1876" t="n">
        <v>0</v>
      </c>
      <c r="L1876" t="n">
        <v>1</v>
      </c>
      <c r="M1876" t="n">
        <v>0</v>
      </c>
    </row>
    <row r="1877" spans="1:13">
      <c r="A1877" s="1">
        <f>HYPERLINK("http://www.twitter.com/NathanBLawrence/status/940799552776474627", "940799552776474627")</f>
        <v/>
      </c>
      <c r="B1877" s="2" t="n">
        <v>43082.18364583333</v>
      </c>
      <c r="C1877" t="n">
        <v>0</v>
      </c>
      <c r="D1877" t="n">
        <v>2569</v>
      </c>
      <c r="E1877" t="s">
        <v>1887</v>
      </c>
      <c r="F1877" t="s"/>
      <c r="G1877" t="s"/>
      <c r="H1877" t="s"/>
      <c r="I1877" t="s"/>
      <c r="J1877" t="n">
        <v>-0.5106000000000001</v>
      </c>
      <c r="K1877" t="n">
        <v>0.18</v>
      </c>
      <c r="L1877" t="n">
        <v>0.82</v>
      </c>
      <c r="M1877" t="n">
        <v>0</v>
      </c>
    </row>
    <row r="1878" spans="1:13">
      <c r="A1878" s="1">
        <f>HYPERLINK("http://www.twitter.com/NathanBLawrence/status/940797359310671872", "940797359310671872")</f>
        <v/>
      </c>
      <c r="B1878" s="2" t="n">
        <v>43082.17759259259</v>
      </c>
      <c r="C1878" t="n">
        <v>0</v>
      </c>
      <c r="D1878" t="n">
        <v>5481</v>
      </c>
      <c r="E1878" t="s">
        <v>1888</v>
      </c>
      <c r="F1878" t="s"/>
      <c r="G1878" t="s"/>
      <c r="H1878" t="s"/>
      <c r="I1878" t="s"/>
      <c r="J1878" t="n">
        <v>-0.1027</v>
      </c>
      <c r="K1878" t="n">
        <v>0.127</v>
      </c>
      <c r="L1878" t="n">
        <v>0.761</v>
      </c>
      <c r="M1878" t="n">
        <v>0.112</v>
      </c>
    </row>
    <row r="1879" spans="1:13">
      <c r="A1879" s="1">
        <f>HYPERLINK("http://www.twitter.com/NathanBLawrence/status/940797331254935552", "940797331254935552")</f>
        <v/>
      </c>
      <c r="B1879" s="2" t="n">
        <v>43082.17751157407</v>
      </c>
      <c r="C1879" t="n">
        <v>0</v>
      </c>
      <c r="D1879" t="n">
        <v>0</v>
      </c>
      <c r="E1879" t="s">
        <v>1889</v>
      </c>
      <c r="F1879" t="s"/>
      <c r="G1879" t="s"/>
      <c r="H1879" t="s"/>
      <c r="I1879" t="s"/>
      <c r="J1879" t="n">
        <v>0</v>
      </c>
      <c r="K1879" t="n">
        <v>0</v>
      </c>
      <c r="L1879" t="n">
        <v>1</v>
      </c>
      <c r="M1879" t="n">
        <v>0</v>
      </c>
    </row>
    <row r="1880" spans="1:13">
      <c r="A1880" s="1">
        <f>HYPERLINK("http://www.twitter.com/NathanBLawrence/status/940796360445644800", "940796360445644800")</f>
        <v/>
      </c>
      <c r="B1880" s="2" t="n">
        <v>43082.17483796296</v>
      </c>
      <c r="C1880" t="n">
        <v>0</v>
      </c>
      <c r="D1880" t="n">
        <v>23587</v>
      </c>
      <c r="E1880" t="s">
        <v>1890</v>
      </c>
      <c r="F1880" t="s"/>
      <c r="G1880" t="s"/>
      <c r="H1880" t="s"/>
      <c r="I1880" t="s"/>
      <c r="J1880" t="n">
        <v>0.8176</v>
      </c>
      <c r="K1880" t="n">
        <v>0.101</v>
      </c>
      <c r="L1880" t="n">
        <v>0.5669999999999999</v>
      </c>
      <c r="M1880" t="n">
        <v>0.332</v>
      </c>
    </row>
    <row r="1881" spans="1:13">
      <c r="A1881" s="1">
        <f>HYPERLINK("http://www.twitter.com/NathanBLawrence/status/940790031119155200", "940790031119155200")</f>
        <v/>
      </c>
      <c r="B1881" s="2" t="n">
        <v>43082.15737268519</v>
      </c>
      <c r="C1881" t="n">
        <v>1</v>
      </c>
      <c r="D1881" t="n">
        <v>0</v>
      </c>
      <c r="E1881" t="s">
        <v>1891</v>
      </c>
      <c r="F1881" t="s"/>
      <c r="G1881" t="s"/>
      <c r="H1881" t="s"/>
      <c r="I1881" t="s"/>
      <c r="J1881" t="n">
        <v>0</v>
      </c>
      <c r="K1881" t="n">
        <v>0</v>
      </c>
      <c r="L1881" t="n">
        <v>1</v>
      </c>
      <c r="M1881" t="n">
        <v>0</v>
      </c>
    </row>
    <row r="1882" spans="1:13">
      <c r="A1882" s="1">
        <f>HYPERLINK("http://www.twitter.com/NathanBLawrence/status/940788581030907904", "940788581030907904")</f>
        <v/>
      </c>
      <c r="B1882" s="2" t="n">
        <v>43082.15336805556</v>
      </c>
      <c r="C1882" t="n">
        <v>2</v>
      </c>
      <c r="D1882" t="n">
        <v>0</v>
      </c>
      <c r="E1882" t="s">
        <v>1892</v>
      </c>
      <c r="F1882" t="s"/>
      <c r="G1882" t="s"/>
      <c r="H1882" t="s"/>
      <c r="I1882" t="s"/>
      <c r="J1882" t="n">
        <v>0</v>
      </c>
      <c r="K1882" t="n">
        <v>0</v>
      </c>
      <c r="L1882" t="n">
        <v>1</v>
      </c>
      <c r="M1882" t="n">
        <v>0</v>
      </c>
    </row>
    <row r="1883" spans="1:13">
      <c r="A1883" s="1">
        <f>HYPERLINK("http://www.twitter.com/NathanBLawrence/status/940786936456925185", "940786936456925185")</f>
        <v/>
      </c>
      <c r="B1883" s="2" t="n">
        <v>43082.14883101852</v>
      </c>
      <c r="C1883" t="n">
        <v>0</v>
      </c>
      <c r="D1883" t="n">
        <v>0</v>
      </c>
      <c r="E1883" t="s">
        <v>1893</v>
      </c>
      <c r="F1883" t="s"/>
      <c r="G1883" t="s"/>
      <c r="H1883" t="s"/>
      <c r="I1883" t="s"/>
      <c r="J1883" t="n">
        <v>0</v>
      </c>
      <c r="K1883" t="n">
        <v>0</v>
      </c>
      <c r="L1883" t="n">
        <v>1</v>
      </c>
      <c r="M1883" t="n">
        <v>0</v>
      </c>
    </row>
    <row r="1884" spans="1:13">
      <c r="A1884" s="1">
        <f>HYPERLINK("http://www.twitter.com/NathanBLawrence/status/940786522080628736", "940786522080628736")</f>
        <v/>
      </c>
      <c r="B1884" s="2" t="n">
        <v>43082.14768518518</v>
      </c>
      <c r="C1884" t="n">
        <v>0</v>
      </c>
      <c r="D1884" t="n">
        <v>0</v>
      </c>
      <c r="E1884" t="s">
        <v>1894</v>
      </c>
      <c r="F1884" t="s"/>
      <c r="G1884" t="s"/>
      <c r="H1884" t="s"/>
      <c r="I1884" t="s"/>
      <c r="J1884" t="n">
        <v>0.3049</v>
      </c>
      <c r="K1884" t="n">
        <v>0.114</v>
      </c>
      <c r="L1884" t="n">
        <v>0.665</v>
      </c>
      <c r="M1884" t="n">
        <v>0.221</v>
      </c>
    </row>
    <row r="1885" spans="1:13">
      <c r="A1885" s="1">
        <f>HYPERLINK("http://www.twitter.com/NathanBLawrence/status/940785167622434816", "940785167622434816")</f>
        <v/>
      </c>
      <c r="B1885" s="2" t="n">
        <v>43082.14394675926</v>
      </c>
      <c r="C1885" t="n">
        <v>0</v>
      </c>
      <c r="D1885" t="n">
        <v>1</v>
      </c>
      <c r="E1885" t="s">
        <v>1895</v>
      </c>
      <c r="F1885" t="s"/>
      <c r="G1885" t="s"/>
      <c r="H1885" t="s"/>
      <c r="I1885" t="s"/>
      <c r="J1885" t="n">
        <v>-0.0258</v>
      </c>
      <c r="K1885" t="n">
        <v>0.252</v>
      </c>
      <c r="L1885" t="n">
        <v>0.504</v>
      </c>
      <c r="M1885" t="n">
        <v>0.245</v>
      </c>
    </row>
    <row r="1886" spans="1:13">
      <c r="A1886" s="1">
        <f>HYPERLINK("http://www.twitter.com/NathanBLawrence/status/940765828450045953", "940765828450045953")</f>
        <v/>
      </c>
      <c r="B1886" s="2" t="n">
        <v>43082.0905787037</v>
      </c>
      <c r="C1886" t="n">
        <v>0</v>
      </c>
      <c r="D1886" t="n">
        <v>0</v>
      </c>
      <c r="E1886" t="s">
        <v>1896</v>
      </c>
      <c r="F1886" t="s"/>
      <c r="G1886" t="s"/>
      <c r="H1886" t="s"/>
      <c r="I1886" t="s"/>
      <c r="J1886" t="n">
        <v>-0.25</v>
      </c>
      <c r="K1886" t="n">
        <v>0.253</v>
      </c>
      <c r="L1886" t="n">
        <v>0.617</v>
      </c>
      <c r="M1886" t="n">
        <v>0.13</v>
      </c>
    </row>
    <row r="1887" spans="1:13">
      <c r="A1887" s="1">
        <f>HYPERLINK("http://www.twitter.com/NathanBLawrence/status/940764037381488640", "940764037381488640")</f>
        <v/>
      </c>
      <c r="B1887" s="2" t="n">
        <v>43082.08563657408</v>
      </c>
      <c r="C1887" t="n">
        <v>0</v>
      </c>
      <c r="D1887" t="n">
        <v>1</v>
      </c>
      <c r="E1887" t="s">
        <v>1897</v>
      </c>
      <c r="F1887" t="s"/>
      <c r="G1887" t="s"/>
      <c r="H1887" t="s"/>
      <c r="I1887" t="s"/>
      <c r="J1887" t="n">
        <v>0.6808</v>
      </c>
      <c r="K1887" t="n">
        <v>0</v>
      </c>
      <c r="L1887" t="n">
        <v>0.728</v>
      </c>
      <c r="M1887" t="n">
        <v>0.272</v>
      </c>
    </row>
    <row r="1888" spans="1:13">
      <c r="A1888" s="1">
        <f>HYPERLINK("http://www.twitter.com/NathanBLawrence/status/940762625931206656", "940762625931206656")</f>
        <v/>
      </c>
      <c r="B1888" s="2" t="n">
        <v>43082.08174768519</v>
      </c>
      <c r="C1888" t="n">
        <v>0</v>
      </c>
      <c r="D1888" t="n">
        <v>0</v>
      </c>
      <c r="E1888" t="s">
        <v>1898</v>
      </c>
      <c r="F1888" t="s"/>
      <c r="G1888" t="s"/>
      <c r="H1888" t="s"/>
      <c r="I1888" t="s"/>
      <c r="J1888" t="n">
        <v>0.8061</v>
      </c>
      <c r="K1888" t="n">
        <v>0</v>
      </c>
      <c r="L1888" t="n">
        <v>0.524</v>
      </c>
      <c r="M1888" t="n">
        <v>0.476</v>
      </c>
    </row>
    <row r="1889" spans="1:13">
      <c r="A1889" s="1">
        <f>HYPERLINK("http://www.twitter.com/NathanBLawrence/status/940760733083725825", "940760733083725825")</f>
        <v/>
      </c>
      <c r="B1889" s="2" t="n">
        <v>43082.07651620371</v>
      </c>
      <c r="C1889" t="n">
        <v>1</v>
      </c>
      <c r="D1889" t="n">
        <v>0</v>
      </c>
      <c r="E1889" t="s">
        <v>1899</v>
      </c>
      <c r="F1889" t="s"/>
      <c r="G1889" t="s"/>
      <c r="H1889" t="s"/>
      <c r="I1889" t="s"/>
      <c r="J1889" t="n">
        <v>0</v>
      </c>
      <c r="K1889" t="n">
        <v>0</v>
      </c>
      <c r="L1889" t="n">
        <v>1</v>
      </c>
      <c r="M1889" t="n">
        <v>0</v>
      </c>
    </row>
    <row r="1890" spans="1:13">
      <c r="A1890" s="1">
        <f>HYPERLINK("http://www.twitter.com/NathanBLawrence/status/940758161719549953", "940758161719549953")</f>
        <v/>
      </c>
      <c r="B1890" s="2" t="n">
        <v>43082.0694212963</v>
      </c>
      <c r="C1890" t="n">
        <v>0</v>
      </c>
      <c r="D1890" t="n">
        <v>0</v>
      </c>
      <c r="E1890" t="s">
        <v>1900</v>
      </c>
      <c r="F1890" t="s"/>
      <c r="G1890" t="s"/>
      <c r="H1890" t="s"/>
      <c r="I1890" t="s"/>
      <c r="J1890" t="n">
        <v>-0.6124000000000001</v>
      </c>
      <c r="K1890" t="n">
        <v>0.667</v>
      </c>
      <c r="L1890" t="n">
        <v>0.333</v>
      </c>
      <c r="M1890" t="n">
        <v>0</v>
      </c>
    </row>
    <row r="1891" spans="1:13">
      <c r="A1891" s="1">
        <f>HYPERLINK("http://www.twitter.com/NathanBLawrence/status/940755774367830016", "940755774367830016")</f>
        <v/>
      </c>
      <c r="B1891" s="2" t="n">
        <v>43082.06283564815</v>
      </c>
      <c r="C1891" t="n">
        <v>0</v>
      </c>
      <c r="D1891" t="n">
        <v>0</v>
      </c>
      <c r="E1891" t="s">
        <v>1901</v>
      </c>
      <c r="F1891" t="s"/>
      <c r="G1891" t="s"/>
      <c r="H1891" t="s"/>
      <c r="I1891" t="s"/>
      <c r="J1891" t="n">
        <v>0.4404</v>
      </c>
      <c r="K1891" t="n">
        <v>0</v>
      </c>
      <c r="L1891" t="n">
        <v>0.58</v>
      </c>
      <c r="M1891" t="n">
        <v>0.42</v>
      </c>
    </row>
    <row r="1892" spans="1:13">
      <c r="A1892" s="1">
        <f>HYPERLINK("http://www.twitter.com/NathanBLawrence/status/940751902110777344", "940751902110777344")</f>
        <v/>
      </c>
      <c r="B1892" s="2" t="n">
        <v>43082.05215277777</v>
      </c>
      <c r="C1892" t="n">
        <v>0</v>
      </c>
      <c r="D1892" t="n">
        <v>0</v>
      </c>
      <c r="E1892" t="s">
        <v>1902</v>
      </c>
      <c r="F1892" t="s"/>
      <c r="G1892" t="s"/>
      <c r="H1892" t="s"/>
      <c r="I1892" t="s"/>
      <c r="J1892" t="n">
        <v>0.4404</v>
      </c>
      <c r="K1892" t="n">
        <v>0</v>
      </c>
      <c r="L1892" t="n">
        <v>0.707</v>
      </c>
      <c r="M1892" t="n">
        <v>0.293</v>
      </c>
    </row>
    <row r="1893" spans="1:13">
      <c r="A1893" s="1">
        <f>HYPERLINK("http://www.twitter.com/NathanBLawrence/status/940748539541573633", "940748539541573633")</f>
        <v/>
      </c>
      <c r="B1893" s="2" t="n">
        <v>43082.04287037037</v>
      </c>
      <c r="C1893" t="n">
        <v>0</v>
      </c>
      <c r="D1893" t="n">
        <v>0</v>
      </c>
      <c r="E1893" t="s">
        <v>1903</v>
      </c>
      <c r="F1893" t="s"/>
      <c r="G1893" t="s"/>
      <c r="H1893" t="s"/>
      <c r="I1893" t="s"/>
      <c r="J1893" t="n">
        <v>-0.4282</v>
      </c>
      <c r="K1893" t="n">
        <v>0.227</v>
      </c>
      <c r="L1893" t="n">
        <v>0.628</v>
      </c>
      <c r="M1893" t="n">
        <v>0.145</v>
      </c>
    </row>
    <row r="1894" spans="1:13">
      <c r="A1894" s="1">
        <f>HYPERLINK("http://www.twitter.com/NathanBLawrence/status/940741450433810433", "940741450433810433")</f>
        <v/>
      </c>
      <c r="B1894" s="2" t="n">
        <v>43082.02331018518</v>
      </c>
      <c r="C1894" t="n">
        <v>0</v>
      </c>
      <c r="D1894" t="n">
        <v>7066</v>
      </c>
      <c r="E1894" t="s">
        <v>1904</v>
      </c>
      <c r="F1894">
        <f>HYPERLINK("http://pbs.twimg.com/media/DQaSunZVQAAgUJ5.jpg", "http://pbs.twimg.com/media/DQaSunZVQAAgUJ5.jpg")</f>
        <v/>
      </c>
      <c r="G1894" t="s"/>
      <c r="H1894" t="s"/>
      <c r="I1894" t="s"/>
      <c r="J1894" t="n">
        <v>0.4199</v>
      </c>
      <c r="K1894" t="n">
        <v>0</v>
      </c>
      <c r="L1894" t="n">
        <v>0.715</v>
      </c>
      <c r="M1894" t="n">
        <v>0.285</v>
      </c>
    </row>
    <row r="1895" spans="1:13">
      <c r="A1895" s="1">
        <f>HYPERLINK("http://www.twitter.com/NathanBLawrence/status/940728952477413382", "940728952477413382")</f>
        <v/>
      </c>
      <c r="B1895" s="2" t="n">
        <v>43081.98881944444</v>
      </c>
      <c r="C1895" t="n">
        <v>0</v>
      </c>
      <c r="D1895" t="n">
        <v>1</v>
      </c>
      <c r="E1895" t="s">
        <v>1905</v>
      </c>
      <c r="F1895" t="s"/>
      <c r="G1895" t="s"/>
      <c r="H1895" t="s"/>
      <c r="I1895" t="s"/>
      <c r="J1895" t="n">
        <v>0.2263</v>
      </c>
      <c r="K1895" t="n">
        <v>0</v>
      </c>
      <c r="L1895" t="n">
        <v>0.909</v>
      </c>
      <c r="M1895" t="n">
        <v>0.091</v>
      </c>
    </row>
    <row r="1896" spans="1:13">
      <c r="A1896" s="1">
        <f>HYPERLINK("http://www.twitter.com/NathanBLawrence/status/940707509995737098", "940707509995737098")</f>
        <v/>
      </c>
      <c r="B1896" s="2" t="n">
        <v>43081.92965277778</v>
      </c>
      <c r="C1896" t="n">
        <v>0</v>
      </c>
      <c r="D1896" t="n">
        <v>0</v>
      </c>
      <c r="E1896" t="s">
        <v>1906</v>
      </c>
      <c r="F1896" t="s"/>
      <c r="G1896" t="s"/>
      <c r="H1896" t="s"/>
      <c r="I1896" t="s"/>
      <c r="J1896" t="n">
        <v>0</v>
      </c>
      <c r="K1896" t="n">
        <v>0</v>
      </c>
      <c r="L1896" t="n">
        <v>1</v>
      </c>
      <c r="M1896" t="n">
        <v>0</v>
      </c>
    </row>
    <row r="1897" spans="1:13">
      <c r="A1897" s="1">
        <f>HYPERLINK("http://www.twitter.com/NathanBLawrence/status/940691646982905859", "940691646982905859")</f>
        <v/>
      </c>
      <c r="B1897" s="2" t="n">
        <v>43081.88587962963</v>
      </c>
      <c r="C1897" t="n">
        <v>0</v>
      </c>
      <c r="D1897" t="n">
        <v>2303</v>
      </c>
      <c r="E1897" t="s">
        <v>1907</v>
      </c>
      <c r="F1897" t="s"/>
      <c r="G1897" t="s"/>
      <c r="H1897" t="s"/>
      <c r="I1897" t="s"/>
      <c r="J1897" t="n">
        <v>0</v>
      </c>
      <c r="K1897" t="n">
        <v>0</v>
      </c>
      <c r="L1897" t="n">
        <v>1</v>
      </c>
      <c r="M1897" t="n">
        <v>0</v>
      </c>
    </row>
    <row r="1898" spans="1:13">
      <c r="A1898" s="1">
        <f>HYPERLINK("http://www.twitter.com/NathanBLawrence/status/940686591051358208", "940686591051358208")</f>
        <v/>
      </c>
      <c r="B1898" s="2" t="n">
        <v>43081.87193287037</v>
      </c>
      <c r="C1898" t="n">
        <v>0</v>
      </c>
      <c r="D1898" t="n">
        <v>11</v>
      </c>
      <c r="E1898" t="s">
        <v>1908</v>
      </c>
      <c r="F1898" t="s"/>
      <c r="G1898" t="s"/>
      <c r="H1898" t="s"/>
      <c r="I1898" t="s"/>
      <c r="J1898" t="n">
        <v>-0.6166</v>
      </c>
      <c r="K1898" t="n">
        <v>0.237</v>
      </c>
      <c r="L1898" t="n">
        <v>0.763</v>
      </c>
      <c r="M1898" t="n">
        <v>0</v>
      </c>
    </row>
    <row r="1899" spans="1:13">
      <c r="A1899" s="1">
        <f>HYPERLINK("http://www.twitter.com/NathanBLawrence/status/940676099901665280", "940676099901665280")</f>
        <v/>
      </c>
      <c r="B1899" s="2" t="n">
        <v>43081.84297453704</v>
      </c>
      <c r="C1899" t="n">
        <v>1</v>
      </c>
      <c r="D1899" t="n">
        <v>0</v>
      </c>
      <c r="E1899" t="s">
        <v>1909</v>
      </c>
      <c r="F1899" t="s"/>
      <c r="G1899" t="s"/>
      <c r="H1899" t="s"/>
      <c r="I1899" t="s"/>
      <c r="J1899" t="n">
        <v>-0.6919</v>
      </c>
      <c r="K1899" t="n">
        <v>0.344</v>
      </c>
      <c r="L1899" t="n">
        <v>0.656</v>
      </c>
      <c r="M1899" t="n">
        <v>0</v>
      </c>
    </row>
    <row r="1900" spans="1:13">
      <c r="A1900" s="1">
        <f>HYPERLINK("http://www.twitter.com/NathanBLawrence/status/940674710467211265", "940674710467211265")</f>
        <v/>
      </c>
      <c r="B1900" s="2" t="n">
        <v>43081.83914351852</v>
      </c>
      <c r="C1900" t="n">
        <v>0</v>
      </c>
      <c r="D1900" t="n">
        <v>0</v>
      </c>
      <c r="E1900" t="s">
        <v>1910</v>
      </c>
      <c r="F1900" t="s"/>
      <c r="G1900" t="s"/>
      <c r="H1900" t="s"/>
      <c r="I1900" t="s"/>
      <c r="J1900" t="n">
        <v>0</v>
      </c>
      <c r="K1900" t="n">
        <v>0</v>
      </c>
      <c r="L1900" t="n">
        <v>1</v>
      </c>
      <c r="M1900" t="n">
        <v>0</v>
      </c>
    </row>
    <row r="1901" spans="1:13">
      <c r="A1901" s="1">
        <f>HYPERLINK("http://www.twitter.com/NathanBLawrence/status/940650146475532288", "940650146475532288")</f>
        <v/>
      </c>
      <c r="B1901" s="2" t="n">
        <v>43081.77136574074</v>
      </c>
      <c r="C1901" t="n">
        <v>0</v>
      </c>
      <c r="D1901" t="n">
        <v>0</v>
      </c>
      <c r="E1901" t="s">
        <v>1911</v>
      </c>
      <c r="F1901" t="s"/>
      <c r="G1901" t="s"/>
      <c r="H1901" t="s"/>
      <c r="I1901" t="s"/>
      <c r="J1901" t="n">
        <v>0</v>
      </c>
      <c r="K1901" t="n">
        <v>0</v>
      </c>
      <c r="L1901" t="n">
        <v>1</v>
      </c>
      <c r="M1901" t="n">
        <v>0</v>
      </c>
    </row>
    <row r="1902" spans="1:13">
      <c r="A1902" s="1">
        <f>HYPERLINK("http://www.twitter.com/NathanBLawrence/status/940647553892278272", "940647553892278272")</f>
        <v/>
      </c>
      <c r="B1902" s="2" t="n">
        <v>43081.76420138889</v>
      </c>
      <c r="C1902" t="n">
        <v>0</v>
      </c>
      <c r="D1902" t="n">
        <v>0</v>
      </c>
      <c r="E1902" t="s">
        <v>1912</v>
      </c>
      <c r="F1902" t="s"/>
      <c r="G1902" t="s"/>
      <c r="H1902" t="s"/>
      <c r="I1902" t="s"/>
      <c r="J1902" t="n">
        <v>-0.5994</v>
      </c>
      <c r="K1902" t="n">
        <v>0.394</v>
      </c>
      <c r="L1902" t="n">
        <v>0.606</v>
      </c>
      <c r="M1902" t="n">
        <v>0</v>
      </c>
    </row>
    <row r="1903" spans="1:13">
      <c r="A1903" s="1">
        <f>HYPERLINK("http://www.twitter.com/NathanBLawrence/status/940630408080838659", "940630408080838659")</f>
        <v/>
      </c>
      <c r="B1903" s="2" t="n">
        <v>43081.71689814814</v>
      </c>
      <c r="C1903" t="n">
        <v>0</v>
      </c>
      <c r="D1903" t="n">
        <v>3398</v>
      </c>
      <c r="E1903" t="s">
        <v>1913</v>
      </c>
      <c r="F1903" t="s"/>
      <c r="G1903" t="s"/>
      <c r="H1903" t="s"/>
      <c r="I1903" t="s"/>
      <c r="J1903" t="n">
        <v>0.2023</v>
      </c>
      <c r="K1903" t="n">
        <v>0</v>
      </c>
      <c r="L1903" t="n">
        <v>0.917</v>
      </c>
      <c r="M1903" t="n">
        <v>0.083</v>
      </c>
    </row>
    <row r="1904" spans="1:13">
      <c r="A1904" s="1">
        <f>HYPERLINK("http://www.twitter.com/NathanBLawrence/status/940629873273528320", "940629873273528320")</f>
        <v/>
      </c>
      <c r="B1904" s="2" t="n">
        <v>43081.71541666667</v>
      </c>
      <c r="C1904" t="n">
        <v>0</v>
      </c>
      <c r="D1904" t="n">
        <v>0</v>
      </c>
      <c r="E1904" t="s">
        <v>1914</v>
      </c>
      <c r="F1904" t="s"/>
      <c r="G1904" t="s"/>
      <c r="H1904" t="s"/>
      <c r="I1904" t="s"/>
      <c r="J1904" t="n">
        <v>-0.7059</v>
      </c>
      <c r="K1904" t="n">
        <v>0.618</v>
      </c>
      <c r="L1904" t="n">
        <v>0.382</v>
      </c>
      <c r="M1904" t="n">
        <v>0</v>
      </c>
    </row>
    <row r="1905" spans="1:13">
      <c r="A1905" s="1">
        <f>HYPERLINK("http://www.twitter.com/NathanBLawrence/status/940629344480841728", "940629344480841728")</f>
        <v/>
      </c>
      <c r="B1905" s="2" t="n">
        <v>43081.71395833333</v>
      </c>
      <c r="C1905" t="n">
        <v>0</v>
      </c>
      <c r="D1905" t="n">
        <v>6147</v>
      </c>
      <c r="E1905" t="s">
        <v>1915</v>
      </c>
      <c r="F1905" t="s"/>
      <c r="G1905" t="s"/>
      <c r="H1905" t="s"/>
      <c r="I1905" t="s"/>
      <c r="J1905" t="n">
        <v>0.3612</v>
      </c>
      <c r="K1905" t="n">
        <v>0</v>
      </c>
      <c r="L1905" t="n">
        <v>0.667</v>
      </c>
      <c r="M1905" t="n">
        <v>0.333</v>
      </c>
    </row>
    <row r="1906" spans="1:13">
      <c r="A1906" s="1">
        <f>HYPERLINK("http://www.twitter.com/NathanBLawrence/status/940600239400062976", "940600239400062976")</f>
        <v/>
      </c>
      <c r="B1906" s="2" t="n">
        <v>43081.63364583333</v>
      </c>
      <c r="C1906" t="n">
        <v>0</v>
      </c>
      <c r="D1906" t="n">
        <v>1539</v>
      </c>
      <c r="E1906" t="s">
        <v>1916</v>
      </c>
      <c r="F1906" t="s"/>
      <c r="G1906" t="s"/>
      <c r="H1906" t="s"/>
      <c r="I1906" t="s"/>
      <c r="J1906" t="n">
        <v>0.5994</v>
      </c>
      <c r="K1906" t="n">
        <v>0</v>
      </c>
      <c r="L1906" t="n">
        <v>0.83</v>
      </c>
      <c r="M1906" t="n">
        <v>0.17</v>
      </c>
    </row>
    <row r="1907" spans="1:13">
      <c r="A1907" s="1">
        <f>HYPERLINK("http://www.twitter.com/NathanBLawrence/status/940547572208427009", "940547572208427009")</f>
        <v/>
      </c>
      <c r="B1907" s="2" t="n">
        <v>43081.48831018519</v>
      </c>
      <c r="C1907" t="n">
        <v>0</v>
      </c>
      <c r="D1907" t="n">
        <v>32</v>
      </c>
      <c r="E1907" t="s">
        <v>1917</v>
      </c>
      <c r="F1907" t="s"/>
      <c r="G1907" t="s"/>
      <c r="H1907" t="s"/>
      <c r="I1907" t="s"/>
      <c r="J1907" t="n">
        <v>-0.5574</v>
      </c>
      <c r="K1907" t="n">
        <v>0.215</v>
      </c>
      <c r="L1907" t="n">
        <v>0.694</v>
      </c>
      <c r="M1907" t="n">
        <v>0.09</v>
      </c>
    </row>
    <row r="1908" spans="1:13">
      <c r="A1908" s="1">
        <f>HYPERLINK("http://www.twitter.com/NathanBLawrence/status/940544287732830208", "940544287732830208")</f>
        <v/>
      </c>
      <c r="B1908" s="2" t="n">
        <v>43081.47924768519</v>
      </c>
      <c r="C1908" t="n">
        <v>0</v>
      </c>
      <c r="D1908" t="n">
        <v>12</v>
      </c>
      <c r="E1908" t="s">
        <v>1918</v>
      </c>
      <c r="F1908" t="s"/>
      <c r="G1908" t="s"/>
      <c r="H1908" t="s"/>
      <c r="I1908" t="s"/>
      <c r="J1908" t="n">
        <v>-0.7003</v>
      </c>
      <c r="K1908" t="n">
        <v>0.33</v>
      </c>
      <c r="L1908" t="n">
        <v>0.5</v>
      </c>
      <c r="M1908" t="n">
        <v>0.17</v>
      </c>
    </row>
    <row r="1909" spans="1:13">
      <c r="A1909" s="1">
        <f>HYPERLINK("http://www.twitter.com/NathanBLawrence/status/940544046279352320", "940544046279352320")</f>
        <v/>
      </c>
      <c r="B1909" s="2" t="n">
        <v>43081.47857638889</v>
      </c>
      <c r="C1909" t="n">
        <v>0</v>
      </c>
      <c r="D1909" t="n">
        <v>2</v>
      </c>
      <c r="E1909" t="s">
        <v>1919</v>
      </c>
      <c r="F1909" t="s"/>
      <c r="G1909" t="s"/>
      <c r="H1909" t="s"/>
      <c r="I1909" t="s"/>
      <c r="J1909" t="n">
        <v>0.5423</v>
      </c>
      <c r="K1909" t="n">
        <v>0.106</v>
      </c>
      <c r="L1909" t="n">
        <v>0.638</v>
      </c>
      <c r="M1909" t="n">
        <v>0.255</v>
      </c>
    </row>
    <row r="1910" spans="1:13">
      <c r="A1910" s="1">
        <f>HYPERLINK("http://www.twitter.com/NathanBLawrence/status/940543625796169728", "940543625796169728")</f>
        <v/>
      </c>
      <c r="B1910" s="2" t="n">
        <v>43081.47741898148</v>
      </c>
      <c r="C1910" t="n">
        <v>0</v>
      </c>
      <c r="D1910" t="n">
        <v>2</v>
      </c>
      <c r="E1910" t="s">
        <v>1920</v>
      </c>
      <c r="F1910" t="s"/>
      <c r="G1910" t="s"/>
      <c r="H1910" t="s"/>
      <c r="I1910" t="s"/>
      <c r="J1910" t="n">
        <v>-0.8074</v>
      </c>
      <c r="K1910" t="n">
        <v>0.287</v>
      </c>
      <c r="L1910" t="n">
        <v>0.638</v>
      </c>
      <c r="M1910" t="n">
        <v>0.075</v>
      </c>
    </row>
    <row r="1911" spans="1:13">
      <c r="A1911" s="1">
        <f>HYPERLINK("http://www.twitter.com/NathanBLawrence/status/940543518476591105", "940543518476591105")</f>
        <v/>
      </c>
      <c r="B1911" s="2" t="n">
        <v>43081.47711805555</v>
      </c>
      <c r="C1911" t="n">
        <v>0</v>
      </c>
      <c r="D1911" t="n">
        <v>0</v>
      </c>
      <c r="E1911" t="s">
        <v>1921</v>
      </c>
      <c r="F1911" t="s"/>
      <c r="G1911" t="s"/>
      <c r="H1911" t="s"/>
      <c r="I1911" t="s"/>
      <c r="J1911" t="n">
        <v>-0.8433</v>
      </c>
      <c r="K1911" t="n">
        <v>0.217</v>
      </c>
      <c r="L1911" t="n">
        <v>0.731</v>
      </c>
      <c r="M1911" t="n">
        <v>0.053</v>
      </c>
    </row>
    <row r="1912" spans="1:13">
      <c r="A1912" s="1">
        <f>HYPERLINK("http://www.twitter.com/NathanBLawrence/status/940540352972324864", "940540352972324864")</f>
        <v/>
      </c>
      <c r="B1912" s="2" t="n">
        <v>43081.46839120371</v>
      </c>
      <c r="C1912" t="n">
        <v>0</v>
      </c>
      <c r="D1912" t="n">
        <v>3</v>
      </c>
      <c r="E1912" t="s">
        <v>1922</v>
      </c>
      <c r="F1912" t="s"/>
      <c r="G1912" t="s"/>
      <c r="H1912" t="s"/>
      <c r="I1912" t="s"/>
      <c r="J1912" t="n">
        <v>0</v>
      </c>
      <c r="K1912" t="n">
        <v>0</v>
      </c>
      <c r="L1912" t="n">
        <v>1</v>
      </c>
      <c r="M1912" t="n">
        <v>0</v>
      </c>
    </row>
    <row r="1913" spans="1:13">
      <c r="A1913" s="1">
        <f>HYPERLINK("http://www.twitter.com/NathanBLawrence/status/940379881489223682", "940379881489223682")</f>
        <v/>
      </c>
      <c r="B1913" s="2" t="n">
        <v>43081.02556712963</v>
      </c>
      <c r="C1913" t="n">
        <v>0</v>
      </c>
      <c r="D1913" t="n">
        <v>2925</v>
      </c>
      <c r="E1913" t="s">
        <v>1923</v>
      </c>
      <c r="F1913">
        <f>HYPERLINK("https://video.twimg.com/ext_tw_video/940366779234189312/pu/vid/1280x720/MtEb9OU2NFf1OaDb.mp4", "https://video.twimg.com/ext_tw_video/940366779234189312/pu/vid/1280x720/MtEb9OU2NFf1OaDb.mp4")</f>
        <v/>
      </c>
      <c r="G1913" t="s"/>
      <c r="H1913" t="s"/>
      <c r="I1913" t="s"/>
      <c r="J1913" t="n">
        <v>-0.2462</v>
      </c>
      <c r="K1913" t="n">
        <v>0.109</v>
      </c>
      <c r="L1913" t="n">
        <v>0.821</v>
      </c>
      <c r="M1913" t="n">
        <v>0.07000000000000001</v>
      </c>
    </row>
    <row r="1914" spans="1:13">
      <c r="A1914" s="1">
        <f>HYPERLINK("http://www.twitter.com/NathanBLawrence/status/940375226134736896", "940375226134736896")</f>
        <v/>
      </c>
      <c r="B1914" s="2" t="n">
        <v>43081.0127199074</v>
      </c>
      <c r="C1914" t="n">
        <v>0</v>
      </c>
      <c r="D1914" t="n">
        <v>0</v>
      </c>
      <c r="E1914" t="s">
        <v>1924</v>
      </c>
      <c r="F1914" t="s"/>
      <c r="G1914" t="s"/>
      <c r="H1914" t="s"/>
      <c r="I1914" t="s"/>
      <c r="J1914" t="n">
        <v>0.4404</v>
      </c>
      <c r="K1914" t="n">
        <v>0</v>
      </c>
      <c r="L1914" t="n">
        <v>0.707</v>
      </c>
      <c r="M1914" t="n">
        <v>0.293</v>
      </c>
    </row>
    <row r="1915" spans="1:13">
      <c r="A1915" s="1">
        <f>HYPERLINK("http://www.twitter.com/NathanBLawrence/status/940372595488280577", "940372595488280577")</f>
        <v/>
      </c>
      <c r="B1915" s="2" t="n">
        <v>43081.00546296296</v>
      </c>
      <c r="C1915" t="n">
        <v>0</v>
      </c>
      <c r="D1915" t="n">
        <v>0</v>
      </c>
      <c r="E1915" t="s">
        <v>1925</v>
      </c>
      <c r="F1915" t="s"/>
      <c r="G1915" t="s"/>
      <c r="H1915" t="s"/>
      <c r="I1915" t="s"/>
      <c r="J1915" t="n">
        <v>-0.5266999999999999</v>
      </c>
      <c r="K1915" t="n">
        <v>0.459</v>
      </c>
      <c r="L1915" t="n">
        <v>0.541</v>
      </c>
      <c r="M1915" t="n">
        <v>0</v>
      </c>
    </row>
    <row r="1916" spans="1:13">
      <c r="A1916" s="1">
        <f>HYPERLINK("http://www.twitter.com/NathanBLawrence/status/940287205737627648", "940287205737627648")</f>
        <v/>
      </c>
      <c r="B1916" s="2" t="n">
        <v>43080.76983796297</v>
      </c>
      <c r="C1916" t="n">
        <v>1</v>
      </c>
      <c r="D1916" t="n">
        <v>0</v>
      </c>
      <c r="E1916" t="s">
        <v>1926</v>
      </c>
      <c r="F1916" t="s"/>
      <c r="G1916" t="s"/>
      <c r="H1916" t="s"/>
      <c r="I1916" t="s"/>
      <c r="J1916" t="n">
        <v>0.1739</v>
      </c>
      <c r="K1916" t="n">
        <v>0.142</v>
      </c>
      <c r="L1916" t="n">
        <v>0.635</v>
      </c>
      <c r="M1916" t="n">
        <v>0.224</v>
      </c>
    </row>
    <row r="1917" spans="1:13">
      <c r="A1917" s="1">
        <f>HYPERLINK("http://www.twitter.com/NathanBLawrence/status/940285600485269504", "940285600485269504")</f>
        <v/>
      </c>
      <c r="B1917" s="2" t="n">
        <v>43080.76540509259</v>
      </c>
      <c r="C1917" t="n">
        <v>0</v>
      </c>
      <c r="D1917" t="n">
        <v>0</v>
      </c>
      <c r="E1917" t="s">
        <v>1927</v>
      </c>
      <c r="F1917" t="s"/>
      <c r="G1917" t="s"/>
      <c r="H1917" t="s"/>
      <c r="I1917" t="s"/>
      <c r="J1917" t="n">
        <v>0</v>
      </c>
      <c r="K1917" t="n">
        <v>0</v>
      </c>
      <c r="L1917" t="n">
        <v>1</v>
      </c>
      <c r="M1917" t="n">
        <v>0</v>
      </c>
    </row>
    <row r="1918" spans="1:13">
      <c r="A1918" s="1">
        <f>HYPERLINK("http://www.twitter.com/NathanBLawrence/status/940272274275471360", "940272274275471360")</f>
        <v/>
      </c>
      <c r="B1918" s="2" t="n">
        <v>43080.72863425926</v>
      </c>
      <c r="C1918" t="n">
        <v>0</v>
      </c>
      <c r="D1918" t="n">
        <v>170</v>
      </c>
      <c r="E1918" t="s">
        <v>1928</v>
      </c>
      <c r="F1918">
        <f>HYPERLINK("http://pbs.twimg.com/media/DQv5hRaVQAA4hSM.jpg", "http://pbs.twimg.com/media/DQv5hRaVQAA4hSM.jpg")</f>
        <v/>
      </c>
      <c r="G1918" t="s"/>
      <c r="H1918" t="s"/>
      <c r="I1918" t="s"/>
      <c r="J1918" t="n">
        <v>-0.5266999999999999</v>
      </c>
      <c r="K1918" t="n">
        <v>0.274</v>
      </c>
      <c r="L1918" t="n">
        <v>0.595</v>
      </c>
      <c r="M1918" t="n">
        <v>0.131</v>
      </c>
    </row>
    <row r="1919" spans="1:13">
      <c r="A1919" s="1">
        <f>HYPERLINK("http://www.twitter.com/NathanBLawrence/status/940272162262388738", "940272162262388738")</f>
        <v/>
      </c>
      <c r="B1919" s="2" t="n">
        <v>43080.72832175926</v>
      </c>
      <c r="C1919" t="n">
        <v>2</v>
      </c>
      <c r="D1919" t="n">
        <v>0</v>
      </c>
      <c r="E1919" t="s">
        <v>1929</v>
      </c>
      <c r="F1919" t="s"/>
      <c r="G1919" t="s"/>
      <c r="H1919" t="s"/>
      <c r="I1919" t="s"/>
      <c r="J1919" t="n">
        <v>0.3612</v>
      </c>
      <c r="K1919" t="n">
        <v>0</v>
      </c>
      <c r="L1919" t="n">
        <v>0.737</v>
      </c>
      <c r="M1919" t="n">
        <v>0.263</v>
      </c>
    </row>
    <row r="1920" spans="1:13">
      <c r="A1920" s="1">
        <f>HYPERLINK("http://www.twitter.com/NathanBLawrence/status/940258699884613637", "940258699884613637")</f>
        <v/>
      </c>
      <c r="B1920" s="2" t="n">
        <v>43080.69116898148</v>
      </c>
      <c r="C1920" t="n">
        <v>0</v>
      </c>
      <c r="D1920" t="n">
        <v>0</v>
      </c>
      <c r="E1920" t="s">
        <v>1930</v>
      </c>
      <c r="F1920" t="s"/>
      <c r="G1920" t="s"/>
      <c r="H1920" t="s"/>
      <c r="I1920" t="s"/>
      <c r="J1920" t="n">
        <v>-0.6571</v>
      </c>
      <c r="K1920" t="n">
        <v>0.285</v>
      </c>
      <c r="L1920" t="n">
        <v>0.715</v>
      </c>
      <c r="M1920" t="n">
        <v>0</v>
      </c>
    </row>
    <row r="1921" spans="1:13">
      <c r="A1921" s="1">
        <f>HYPERLINK("http://www.twitter.com/NathanBLawrence/status/940255587400667141", "940255587400667141")</f>
        <v/>
      </c>
      <c r="B1921" s="2" t="n">
        <v>43080.68258101852</v>
      </c>
      <c r="C1921" t="n">
        <v>0</v>
      </c>
      <c r="D1921" t="n">
        <v>0</v>
      </c>
      <c r="E1921" t="s">
        <v>1931</v>
      </c>
      <c r="F1921" t="s"/>
      <c r="G1921" t="s"/>
      <c r="H1921" t="s"/>
      <c r="I1921" t="s"/>
      <c r="J1921" t="n">
        <v>0</v>
      </c>
      <c r="K1921" t="n">
        <v>0</v>
      </c>
      <c r="L1921" t="n">
        <v>1</v>
      </c>
      <c r="M1921" t="n">
        <v>0</v>
      </c>
    </row>
    <row r="1922" spans="1:13">
      <c r="A1922" s="1">
        <f>HYPERLINK("http://www.twitter.com/NathanBLawrence/status/940253633677012994", "940253633677012994")</f>
        <v/>
      </c>
      <c r="B1922" s="2" t="n">
        <v>43080.6771875</v>
      </c>
      <c r="C1922" t="n">
        <v>0</v>
      </c>
      <c r="D1922" t="n">
        <v>27538</v>
      </c>
      <c r="E1922" t="s">
        <v>1932</v>
      </c>
      <c r="F1922" t="s"/>
      <c r="G1922" t="s"/>
      <c r="H1922" t="s"/>
      <c r="I1922" t="s"/>
      <c r="J1922" t="n">
        <v>-0.2498</v>
      </c>
      <c r="K1922" t="n">
        <v>0.132</v>
      </c>
      <c r="L1922" t="n">
        <v>0.776</v>
      </c>
      <c r="M1922" t="n">
        <v>0.093</v>
      </c>
    </row>
    <row r="1923" spans="1:13">
      <c r="A1923" s="1">
        <f>HYPERLINK("http://www.twitter.com/NathanBLawrence/status/940253567872585728", "940253567872585728")</f>
        <v/>
      </c>
      <c r="B1923" s="2" t="n">
        <v>43080.67701388889</v>
      </c>
      <c r="C1923" t="n">
        <v>0</v>
      </c>
      <c r="D1923" t="n">
        <v>29153</v>
      </c>
      <c r="E1923" t="s">
        <v>1933</v>
      </c>
      <c r="F1923" t="s"/>
      <c r="G1923" t="s"/>
      <c r="H1923" t="s"/>
      <c r="I1923" t="s"/>
      <c r="J1923" t="n">
        <v>-0.4767</v>
      </c>
      <c r="K1923" t="n">
        <v>0.124</v>
      </c>
      <c r="L1923" t="n">
        <v>0.876</v>
      </c>
      <c r="M1923" t="n">
        <v>0</v>
      </c>
    </row>
    <row r="1924" spans="1:13">
      <c r="A1924" s="1">
        <f>HYPERLINK("http://www.twitter.com/NathanBLawrence/status/940253549698658304", "940253549698658304")</f>
        <v/>
      </c>
      <c r="B1924" s="2" t="n">
        <v>43080.67695601852</v>
      </c>
      <c r="C1924" t="n">
        <v>0</v>
      </c>
      <c r="D1924" t="n">
        <v>32016</v>
      </c>
      <c r="E1924" t="s">
        <v>1934</v>
      </c>
      <c r="F1924" t="s"/>
      <c r="G1924" t="s"/>
      <c r="H1924" t="s"/>
      <c r="I1924" t="s"/>
      <c r="J1924" t="n">
        <v>-0.7712</v>
      </c>
      <c r="K1924" t="n">
        <v>0.26</v>
      </c>
      <c r="L1924" t="n">
        <v>0.74</v>
      </c>
      <c r="M1924" t="n">
        <v>0</v>
      </c>
    </row>
    <row r="1925" spans="1:13">
      <c r="A1925" s="1">
        <f>HYPERLINK("http://www.twitter.com/NathanBLawrence/status/940229861301473281", "940229861301473281")</f>
        <v/>
      </c>
      <c r="B1925" s="2" t="n">
        <v>43080.61159722223</v>
      </c>
      <c r="C1925" t="n">
        <v>0</v>
      </c>
      <c r="D1925" t="n">
        <v>0</v>
      </c>
      <c r="E1925" t="s">
        <v>1935</v>
      </c>
      <c r="F1925" t="s"/>
      <c r="G1925" t="s"/>
      <c r="H1925" t="s"/>
      <c r="I1925" t="s"/>
      <c r="J1925" t="n">
        <v>0</v>
      </c>
      <c r="K1925" t="n">
        <v>0</v>
      </c>
      <c r="L1925" t="n">
        <v>1</v>
      </c>
      <c r="M1925" t="n">
        <v>0</v>
      </c>
    </row>
    <row r="1926" spans="1:13">
      <c r="A1926" s="1">
        <f>HYPERLINK("http://www.twitter.com/NathanBLawrence/status/940184625028255746", "940184625028255746")</f>
        <v/>
      </c>
      <c r="B1926" s="2" t="n">
        <v>43080.48677083333</v>
      </c>
      <c r="C1926" t="n">
        <v>1</v>
      </c>
      <c r="D1926" t="n">
        <v>0</v>
      </c>
      <c r="E1926" t="s">
        <v>1936</v>
      </c>
      <c r="F1926" t="s"/>
      <c r="G1926" t="s"/>
      <c r="H1926" t="s"/>
      <c r="I1926" t="s"/>
      <c r="J1926" t="n">
        <v>-0.9393</v>
      </c>
      <c r="K1926" t="n">
        <v>0.394</v>
      </c>
      <c r="L1926" t="n">
        <v>0.606</v>
      </c>
      <c r="M1926" t="n">
        <v>0</v>
      </c>
    </row>
    <row r="1927" spans="1:13">
      <c r="A1927" s="1">
        <f>HYPERLINK("http://www.twitter.com/NathanBLawrence/status/940066341045678080", "940066341045678080")</f>
        <v/>
      </c>
      <c r="B1927" s="2" t="n">
        <v>43080.1603587963</v>
      </c>
      <c r="C1927" t="n">
        <v>0</v>
      </c>
      <c r="D1927" t="n">
        <v>1601</v>
      </c>
      <c r="E1927" t="s">
        <v>1937</v>
      </c>
      <c r="F1927" t="s"/>
      <c r="G1927" t="s"/>
      <c r="H1927" t="s"/>
      <c r="I1927" t="s"/>
      <c r="J1927" t="n">
        <v>0.4574</v>
      </c>
      <c r="K1927" t="n">
        <v>0</v>
      </c>
      <c r="L1927" t="n">
        <v>0.77</v>
      </c>
      <c r="M1927" t="n">
        <v>0.23</v>
      </c>
    </row>
    <row r="1928" spans="1:13">
      <c r="A1928" s="1">
        <f>HYPERLINK("http://www.twitter.com/NathanBLawrence/status/940049621266472961", "940049621266472961")</f>
        <v/>
      </c>
      <c r="B1928" s="2" t="n">
        <v>43080.11422453704</v>
      </c>
      <c r="C1928" t="n">
        <v>1</v>
      </c>
      <c r="D1928" t="n">
        <v>0</v>
      </c>
      <c r="E1928" t="s">
        <v>1938</v>
      </c>
      <c r="F1928" t="s"/>
      <c r="G1928" t="s"/>
      <c r="H1928" t="s"/>
      <c r="I1928" t="s"/>
      <c r="J1928" t="n">
        <v>0.3612</v>
      </c>
      <c r="K1928" t="n">
        <v>0</v>
      </c>
      <c r="L1928" t="n">
        <v>0.615</v>
      </c>
      <c r="M1928" t="n">
        <v>0.385</v>
      </c>
    </row>
    <row r="1929" spans="1:13">
      <c r="A1929" s="1">
        <f>HYPERLINK("http://www.twitter.com/NathanBLawrence/status/940049279472644097", "940049279472644097")</f>
        <v/>
      </c>
      <c r="B1929" s="2" t="n">
        <v>43080.11328703703</v>
      </c>
      <c r="C1929" t="n">
        <v>0</v>
      </c>
      <c r="D1929" t="n">
        <v>0</v>
      </c>
      <c r="E1929" t="s">
        <v>1939</v>
      </c>
      <c r="F1929" t="s"/>
      <c r="G1929" t="s"/>
      <c r="H1929" t="s"/>
      <c r="I1929" t="s"/>
      <c r="J1929" t="n">
        <v>0</v>
      </c>
      <c r="K1929" t="n">
        <v>0</v>
      </c>
      <c r="L1929" t="n">
        <v>1</v>
      </c>
      <c r="M1929" t="n">
        <v>0</v>
      </c>
    </row>
    <row r="1930" spans="1:13">
      <c r="A1930" s="1">
        <f>HYPERLINK("http://www.twitter.com/NathanBLawrence/status/940004158693871616", "940004158693871616")</f>
        <v/>
      </c>
      <c r="B1930" s="2" t="n">
        <v>43079.98877314815</v>
      </c>
      <c r="C1930" t="n">
        <v>0</v>
      </c>
      <c r="D1930" t="n">
        <v>2</v>
      </c>
      <c r="E1930" t="s">
        <v>1940</v>
      </c>
      <c r="F1930" t="s"/>
      <c r="G1930" t="s"/>
      <c r="H1930" t="s"/>
      <c r="I1930" t="s"/>
      <c r="J1930" t="n">
        <v>0.5719</v>
      </c>
      <c r="K1930" t="n">
        <v>0</v>
      </c>
      <c r="L1930" t="n">
        <v>0.844</v>
      </c>
      <c r="M1930" t="n">
        <v>0.156</v>
      </c>
    </row>
    <row r="1931" spans="1:13">
      <c r="A1931" s="1">
        <f>HYPERLINK("http://www.twitter.com/NathanBLawrence/status/939943702209933312", "939943702209933312")</f>
        <v/>
      </c>
      <c r="B1931" s="2" t="n">
        <v>43079.82194444445</v>
      </c>
      <c r="C1931" t="n">
        <v>0</v>
      </c>
      <c r="D1931" t="n">
        <v>0</v>
      </c>
      <c r="E1931" t="s">
        <v>1941</v>
      </c>
      <c r="F1931" t="s"/>
      <c r="G1931" t="s"/>
      <c r="H1931" t="s"/>
      <c r="I1931" t="s"/>
      <c r="J1931" t="n">
        <v>-0.6239</v>
      </c>
      <c r="K1931" t="n">
        <v>0.298</v>
      </c>
      <c r="L1931" t="n">
        <v>0.702</v>
      </c>
      <c r="M1931" t="n">
        <v>0</v>
      </c>
    </row>
    <row r="1932" spans="1:13">
      <c r="A1932" s="1">
        <f>HYPERLINK("http://www.twitter.com/NathanBLawrence/status/939887573199138818", "939887573199138818")</f>
        <v/>
      </c>
      <c r="B1932" s="2" t="n">
        <v>43079.66706018519</v>
      </c>
      <c r="C1932" t="n">
        <v>0</v>
      </c>
      <c r="D1932" t="n">
        <v>321</v>
      </c>
      <c r="E1932" t="s">
        <v>1942</v>
      </c>
      <c r="F1932">
        <f>HYPERLINK("http://pbs.twimg.com/media/DQjyvk6XkAYpk9d.jpg", "http://pbs.twimg.com/media/DQjyvk6XkAYpk9d.jpg")</f>
        <v/>
      </c>
      <c r="G1932" t="s"/>
      <c r="H1932" t="s"/>
      <c r="I1932" t="s"/>
      <c r="J1932" t="n">
        <v>0</v>
      </c>
      <c r="K1932" t="n">
        <v>0</v>
      </c>
      <c r="L1932" t="n">
        <v>1</v>
      </c>
      <c r="M1932" t="n">
        <v>0</v>
      </c>
    </row>
    <row r="1933" spans="1:13">
      <c r="A1933" s="1">
        <f>HYPERLINK("http://www.twitter.com/NathanBLawrence/status/939886731985289216", "939886731985289216")</f>
        <v/>
      </c>
      <c r="B1933" s="2" t="n">
        <v>43079.66473379629</v>
      </c>
      <c r="C1933" t="n">
        <v>0</v>
      </c>
      <c r="D1933" t="n">
        <v>0</v>
      </c>
      <c r="E1933" t="s">
        <v>1943</v>
      </c>
      <c r="F1933" t="s"/>
      <c r="G1933" t="s"/>
      <c r="H1933" t="s"/>
      <c r="I1933" t="s"/>
      <c r="J1933" t="n">
        <v>0</v>
      </c>
      <c r="K1933" t="n">
        <v>0</v>
      </c>
      <c r="L1933" t="n">
        <v>1</v>
      </c>
      <c r="M1933" t="n">
        <v>0</v>
      </c>
    </row>
    <row r="1934" spans="1:13">
      <c r="A1934" s="1">
        <f>HYPERLINK("http://www.twitter.com/NathanBLawrence/status/939882547558928384", "939882547558928384")</f>
        <v/>
      </c>
      <c r="B1934" s="2" t="n">
        <v>43079.65319444444</v>
      </c>
      <c r="C1934" t="n">
        <v>1</v>
      </c>
      <c r="D1934" t="n">
        <v>0</v>
      </c>
      <c r="E1934" t="s">
        <v>1944</v>
      </c>
      <c r="F1934" t="s"/>
      <c r="G1934" t="s"/>
      <c r="H1934" t="s"/>
      <c r="I1934" t="s"/>
      <c r="J1934" t="n">
        <v>-0.6124000000000001</v>
      </c>
      <c r="K1934" t="n">
        <v>0.108</v>
      </c>
      <c r="L1934" t="n">
        <v>0.892</v>
      </c>
      <c r="M1934" t="n">
        <v>0</v>
      </c>
    </row>
    <row r="1935" spans="1:13">
      <c r="A1935" s="1">
        <f>HYPERLINK("http://www.twitter.com/NathanBLawrence/status/939584796711374849", "939584796711374849")</f>
        <v/>
      </c>
      <c r="B1935" s="2" t="n">
        <v>43078.83155092593</v>
      </c>
      <c r="C1935" t="n">
        <v>0</v>
      </c>
      <c r="D1935" t="n">
        <v>0</v>
      </c>
      <c r="E1935" t="s">
        <v>1945</v>
      </c>
      <c r="F1935" t="s"/>
      <c r="G1935" t="s"/>
      <c r="H1935" t="s"/>
      <c r="I1935" t="s"/>
      <c r="J1935" t="n">
        <v>-0.5859</v>
      </c>
      <c r="K1935" t="n">
        <v>0.304</v>
      </c>
      <c r="L1935" t="n">
        <v>0.696</v>
      </c>
      <c r="M1935" t="n">
        <v>0</v>
      </c>
    </row>
    <row r="1936" spans="1:13">
      <c r="A1936" s="1">
        <f>HYPERLINK("http://www.twitter.com/NathanBLawrence/status/939545977136041984", "939545977136041984")</f>
        <v/>
      </c>
      <c r="B1936" s="2" t="n">
        <v>43078.72443287037</v>
      </c>
      <c r="C1936" t="n">
        <v>1</v>
      </c>
      <c r="D1936" t="n">
        <v>0</v>
      </c>
      <c r="E1936" t="s">
        <v>1946</v>
      </c>
      <c r="F1936" t="s"/>
      <c r="G1936" t="s"/>
      <c r="H1936" t="s"/>
      <c r="I1936" t="s"/>
      <c r="J1936" t="n">
        <v>0</v>
      </c>
      <c r="K1936" t="n">
        <v>0</v>
      </c>
      <c r="L1936" t="n">
        <v>1</v>
      </c>
      <c r="M1936" t="n">
        <v>0</v>
      </c>
    </row>
    <row r="1937" spans="1:13">
      <c r="A1937" s="1">
        <f>HYPERLINK("http://www.twitter.com/NathanBLawrence/status/939545497429307392", "939545497429307392")</f>
        <v/>
      </c>
      <c r="B1937" s="2" t="n">
        <v>43078.72311342593</v>
      </c>
      <c r="C1937" t="n">
        <v>0</v>
      </c>
      <c r="D1937" t="n">
        <v>127</v>
      </c>
      <c r="E1937" t="s">
        <v>1947</v>
      </c>
      <c r="F1937">
        <f>HYPERLINK("http://pbs.twimg.com/media/DQmz1hWXkAAPkAJ.jpg", "http://pbs.twimg.com/media/DQmz1hWXkAAPkAJ.jpg")</f>
        <v/>
      </c>
      <c r="G1937" t="s"/>
      <c r="H1937" t="s"/>
      <c r="I1937" t="s"/>
      <c r="J1937" t="n">
        <v>0.8779</v>
      </c>
      <c r="K1937" t="n">
        <v>0</v>
      </c>
      <c r="L1937" t="n">
        <v>0.641</v>
      </c>
      <c r="M1937" t="n">
        <v>0.359</v>
      </c>
    </row>
    <row r="1938" spans="1:13">
      <c r="A1938" s="1">
        <f>HYPERLINK("http://www.twitter.com/NathanBLawrence/status/939545497064345600", "939545497064345600")</f>
        <v/>
      </c>
      <c r="B1938" s="2" t="n">
        <v>43078.72311342593</v>
      </c>
      <c r="C1938" t="n">
        <v>0</v>
      </c>
      <c r="D1938" t="n">
        <v>0</v>
      </c>
      <c r="E1938" t="s">
        <v>1948</v>
      </c>
      <c r="F1938" t="s"/>
      <c r="G1938" t="s"/>
      <c r="H1938" t="s"/>
      <c r="I1938" t="s"/>
      <c r="J1938" t="n">
        <v>-0.123</v>
      </c>
      <c r="K1938" t="n">
        <v>0.143</v>
      </c>
      <c r="L1938" t="n">
        <v>0.733</v>
      </c>
      <c r="M1938" t="n">
        <v>0.124</v>
      </c>
    </row>
    <row r="1939" spans="1:13">
      <c r="A1939" s="1">
        <f>HYPERLINK("http://www.twitter.com/NathanBLawrence/status/939497867252785153", "939497867252785153")</f>
        <v/>
      </c>
      <c r="B1939" s="2" t="n">
        <v>43078.59167824074</v>
      </c>
      <c r="C1939" t="n">
        <v>0</v>
      </c>
      <c r="D1939" t="n">
        <v>0</v>
      </c>
      <c r="E1939" t="s">
        <v>1949</v>
      </c>
      <c r="F1939" t="s"/>
      <c r="G1939" t="s"/>
      <c r="H1939" t="s"/>
      <c r="I1939" t="s"/>
      <c r="J1939" t="n">
        <v>-0.5719</v>
      </c>
      <c r="K1939" t="n">
        <v>0.285</v>
      </c>
      <c r="L1939" t="n">
        <v>0.608</v>
      </c>
      <c r="M1939" t="n">
        <v>0.106</v>
      </c>
    </row>
    <row r="1940" spans="1:13">
      <c r="A1940" s="1">
        <f>HYPERLINK("http://www.twitter.com/NathanBLawrence/status/939341743484538885", "939341743484538885")</f>
        <v/>
      </c>
      <c r="B1940" s="2" t="n">
        <v>43078.16085648148</v>
      </c>
      <c r="C1940" t="n">
        <v>3</v>
      </c>
      <c r="D1940" t="n">
        <v>0</v>
      </c>
      <c r="E1940" t="s">
        <v>1950</v>
      </c>
      <c r="F1940" t="s"/>
      <c r="G1940" t="s"/>
      <c r="H1940" t="s"/>
      <c r="I1940" t="s"/>
      <c r="J1940" t="n">
        <v>0</v>
      </c>
      <c r="K1940" t="n">
        <v>0</v>
      </c>
      <c r="L1940" t="n">
        <v>1</v>
      </c>
      <c r="M1940" t="n">
        <v>0</v>
      </c>
    </row>
    <row r="1941" spans="1:13">
      <c r="A1941" s="1">
        <f>HYPERLINK("http://www.twitter.com/NathanBLawrence/status/939340352686784513", "939340352686784513")</f>
        <v/>
      </c>
      <c r="B1941" s="2" t="n">
        <v>43078.15701388889</v>
      </c>
      <c r="C1941" t="n">
        <v>0</v>
      </c>
      <c r="D1941" t="n">
        <v>0</v>
      </c>
      <c r="E1941" t="s">
        <v>1951</v>
      </c>
      <c r="F1941" t="s"/>
      <c r="G1941" t="s"/>
      <c r="H1941" t="s"/>
      <c r="I1941" t="s"/>
      <c r="J1941" t="n">
        <v>0</v>
      </c>
      <c r="K1941" t="n">
        <v>0</v>
      </c>
      <c r="L1941" t="n">
        <v>1</v>
      </c>
      <c r="M1941" t="n">
        <v>0</v>
      </c>
    </row>
    <row r="1942" spans="1:13">
      <c r="A1942" s="1">
        <f>HYPERLINK("http://www.twitter.com/NathanBLawrence/status/939324247515811840", "939324247515811840")</f>
        <v/>
      </c>
      <c r="B1942" s="2" t="n">
        <v>43078.11258101852</v>
      </c>
      <c r="C1942" t="n">
        <v>0</v>
      </c>
      <c r="D1942" t="n">
        <v>0</v>
      </c>
      <c r="E1942" t="s">
        <v>1952</v>
      </c>
      <c r="F1942" t="s"/>
      <c r="G1942" t="s"/>
      <c r="H1942" t="s"/>
      <c r="I1942" t="s"/>
      <c r="J1942" t="n">
        <v>0.6553</v>
      </c>
      <c r="K1942" t="n">
        <v>0</v>
      </c>
      <c r="L1942" t="n">
        <v>0.839</v>
      </c>
      <c r="M1942" t="n">
        <v>0.161</v>
      </c>
    </row>
    <row r="1943" spans="1:13">
      <c r="A1943" s="1">
        <f>HYPERLINK("http://www.twitter.com/NathanBLawrence/status/939323548539203584", "939323548539203584")</f>
        <v/>
      </c>
      <c r="B1943" s="2" t="n">
        <v>43078.11064814815</v>
      </c>
      <c r="C1943" t="n">
        <v>3</v>
      </c>
      <c r="D1943" t="n">
        <v>0</v>
      </c>
      <c r="E1943" t="s">
        <v>1953</v>
      </c>
      <c r="F1943" t="s"/>
      <c r="G1943" t="s"/>
      <c r="H1943" t="s"/>
      <c r="I1943" t="s"/>
      <c r="J1943" t="n">
        <v>0</v>
      </c>
      <c r="K1943" t="n">
        <v>0</v>
      </c>
      <c r="L1943" t="n">
        <v>1</v>
      </c>
      <c r="M1943" t="n">
        <v>0</v>
      </c>
    </row>
    <row r="1944" spans="1:13">
      <c r="A1944" s="1">
        <f>HYPERLINK("http://www.twitter.com/NathanBLawrence/status/939319412590632960", "939319412590632960")</f>
        <v/>
      </c>
      <c r="B1944" s="2" t="n">
        <v>43078.09923611111</v>
      </c>
      <c r="C1944" t="n">
        <v>1</v>
      </c>
      <c r="D1944" t="n">
        <v>0</v>
      </c>
      <c r="E1944" t="s">
        <v>1954</v>
      </c>
      <c r="F1944" t="s"/>
      <c r="G1944" t="s"/>
      <c r="H1944" t="s"/>
      <c r="I1944" t="s"/>
      <c r="J1944" t="n">
        <v>-0.6449</v>
      </c>
      <c r="K1944" t="n">
        <v>0.516</v>
      </c>
      <c r="L1944" t="n">
        <v>0.484</v>
      </c>
      <c r="M1944" t="n">
        <v>0</v>
      </c>
    </row>
    <row r="1945" spans="1:13">
      <c r="A1945" s="1">
        <f>HYPERLINK("http://www.twitter.com/NathanBLawrence/status/939318619930013696", "939318619930013696")</f>
        <v/>
      </c>
      <c r="B1945" s="2" t="n">
        <v>43078.09704861111</v>
      </c>
      <c r="C1945" t="n">
        <v>0</v>
      </c>
      <c r="D1945" t="n">
        <v>0</v>
      </c>
      <c r="E1945" t="s">
        <v>1955</v>
      </c>
      <c r="F1945" t="s"/>
      <c r="G1945" t="s"/>
      <c r="H1945" t="s"/>
      <c r="I1945" t="s"/>
      <c r="J1945" t="n">
        <v>0.7579</v>
      </c>
      <c r="K1945" t="n">
        <v>0</v>
      </c>
      <c r="L1945" t="n">
        <v>0.667</v>
      </c>
      <c r="M1945" t="n">
        <v>0.333</v>
      </c>
    </row>
    <row r="1946" spans="1:13">
      <c r="A1946" s="1">
        <f>HYPERLINK("http://www.twitter.com/NathanBLawrence/status/939317049679077376", "939317049679077376")</f>
        <v/>
      </c>
      <c r="B1946" s="2" t="n">
        <v>43078.09270833333</v>
      </c>
      <c r="C1946" t="n">
        <v>0</v>
      </c>
      <c r="D1946" t="n">
        <v>0</v>
      </c>
      <c r="E1946" t="s">
        <v>1956</v>
      </c>
      <c r="F1946" t="s"/>
      <c r="G1946" t="s"/>
      <c r="H1946" t="s"/>
      <c r="I1946" t="s"/>
      <c r="J1946" t="n">
        <v>-0.5266999999999999</v>
      </c>
      <c r="K1946" t="n">
        <v>0.8080000000000001</v>
      </c>
      <c r="L1946" t="n">
        <v>0.192</v>
      </c>
      <c r="M1946" t="n">
        <v>0</v>
      </c>
    </row>
    <row r="1947" spans="1:13">
      <c r="A1947" s="1">
        <f>HYPERLINK("http://www.twitter.com/NathanBLawrence/status/939315779039846402", "939315779039846402")</f>
        <v/>
      </c>
      <c r="B1947" s="2" t="n">
        <v>43078.08921296296</v>
      </c>
      <c r="C1947" t="n">
        <v>0</v>
      </c>
      <c r="D1947" t="n">
        <v>0</v>
      </c>
      <c r="E1947" t="s">
        <v>1957</v>
      </c>
      <c r="F1947" t="s"/>
      <c r="G1947" t="s"/>
      <c r="H1947" t="s"/>
      <c r="I1947" t="s"/>
      <c r="J1947" t="n">
        <v>-0.296</v>
      </c>
      <c r="K1947" t="n">
        <v>0.18</v>
      </c>
      <c r="L1947" t="n">
        <v>0.82</v>
      </c>
      <c r="M1947" t="n">
        <v>0</v>
      </c>
    </row>
    <row r="1948" spans="1:13">
      <c r="A1948" s="1">
        <f>HYPERLINK("http://www.twitter.com/NathanBLawrence/status/939315322984779778", "939315322984779778")</f>
        <v/>
      </c>
      <c r="B1948" s="2" t="n">
        <v>43078.08795138889</v>
      </c>
      <c r="C1948" t="n">
        <v>2</v>
      </c>
      <c r="D1948" t="n">
        <v>0</v>
      </c>
      <c r="E1948" t="s">
        <v>1958</v>
      </c>
      <c r="F1948" t="s"/>
      <c r="G1948" t="s"/>
      <c r="H1948" t="s"/>
      <c r="I1948" t="s"/>
      <c r="J1948" t="n">
        <v>-0.3612</v>
      </c>
      <c r="K1948" t="n">
        <v>0.117</v>
      </c>
      <c r="L1948" t="n">
        <v>0.8139999999999999</v>
      </c>
      <c r="M1948" t="n">
        <v>0.068</v>
      </c>
    </row>
    <row r="1949" spans="1:13">
      <c r="A1949" s="1">
        <f>HYPERLINK("http://www.twitter.com/NathanBLawrence/status/939314932935471106", "939314932935471106")</f>
        <v/>
      </c>
      <c r="B1949" s="2" t="n">
        <v>43078.086875</v>
      </c>
      <c r="C1949" t="n">
        <v>0</v>
      </c>
      <c r="D1949" t="n">
        <v>1</v>
      </c>
      <c r="E1949" t="s">
        <v>1959</v>
      </c>
      <c r="F1949" t="s"/>
      <c r="G1949" t="s"/>
      <c r="H1949" t="s"/>
      <c r="I1949" t="s"/>
      <c r="J1949" t="n">
        <v>0.4215</v>
      </c>
      <c r="K1949" t="n">
        <v>0</v>
      </c>
      <c r="L1949" t="n">
        <v>0.833</v>
      </c>
      <c r="M1949" t="n">
        <v>0.167</v>
      </c>
    </row>
    <row r="1950" spans="1:13">
      <c r="A1950" s="1">
        <f>HYPERLINK("http://www.twitter.com/NathanBLawrence/status/939312166112460800", "939312166112460800")</f>
        <v/>
      </c>
      <c r="B1950" s="2" t="n">
        <v>43078.07923611111</v>
      </c>
      <c r="C1950" t="n">
        <v>0</v>
      </c>
      <c r="D1950" t="n">
        <v>0</v>
      </c>
      <c r="E1950" t="s">
        <v>1960</v>
      </c>
      <c r="F1950" t="s"/>
      <c r="G1950" t="s"/>
      <c r="H1950" t="s"/>
      <c r="I1950" t="s"/>
      <c r="J1950" t="n">
        <v>0</v>
      </c>
      <c r="K1950" t="n">
        <v>0</v>
      </c>
      <c r="L1950" t="n">
        <v>1</v>
      </c>
      <c r="M1950" t="n">
        <v>0</v>
      </c>
    </row>
    <row r="1951" spans="1:13">
      <c r="A1951" s="1">
        <f>HYPERLINK("http://www.twitter.com/NathanBLawrence/status/939311801208115200", "939311801208115200")</f>
        <v/>
      </c>
      <c r="B1951" s="2" t="n">
        <v>43078.07822916667</v>
      </c>
      <c r="C1951" t="n">
        <v>0</v>
      </c>
      <c r="D1951" t="n">
        <v>0</v>
      </c>
      <c r="E1951" t="s">
        <v>1961</v>
      </c>
      <c r="F1951" t="s"/>
      <c r="G1951" t="s"/>
      <c r="H1951" t="s"/>
      <c r="I1951" t="s"/>
      <c r="J1951" t="n">
        <v>0</v>
      </c>
      <c r="K1951" t="n">
        <v>0</v>
      </c>
      <c r="L1951" t="n">
        <v>1</v>
      </c>
      <c r="M1951" t="n">
        <v>0</v>
      </c>
    </row>
    <row r="1952" spans="1:13">
      <c r="A1952" s="1">
        <f>HYPERLINK("http://www.twitter.com/NathanBLawrence/status/939311660011081730", "939311660011081730")</f>
        <v/>
      </c>
      <c r="B1952" s="2" t="n">
        <v>43078.07783564815</v>
      </c>
      <c r="C1952" t="n">
        <v>0</v>
      </c>
      <c r="D1952" t="n">
        <v>6</v>
      </c>
      <c r="E1952" t="s">
        <v>1962</v>
      </c>
      <c r="F1952" t="s"/>
      <c r="G1952" t="s"/>
      <c r="H1952" t="s"/>
      <c r="I1952" t="s"/>
      <c r="J1952" t="n">
        <v>0</v>
      </c>
      <c r="K1952" t="n">
        <v>0</v>
      </c>
      <c r="L1952" t="n">
        <v>1</v>
      </c>
      <c r="M1952" t="n">
        <v>0</v>
      </c>
    </row>
    <row r="1953" spans="1:13">
      <c r="A1953" s="1">
        <f>HYPERLINK("http://www.twitter.com/NathanBLawrence/status/939311514028306432", "939311514028306432")</f>
        <v/>
      </c>
      <c r="B1953" s="2" t="n">
        <v>43078.07744212963</v>
      </c>
      <c r="C1953" t="n">
        <v>2</v>
      </c>
      <c r="D1953" t="n">
        <v>0</v>
      </c>
      <c r="E1953" t="s">
        <v>1963</v>
      </c>
      <c r="F1953" t="s"/>
      <c r="G1953" t="s"/>
      <c r="H1953" t="s"/>
      <c r="I1953" t="s"/>
      <c r="J1953" t="n">
        <v>0.8105</v>
      </c>
      <c r="K1953" t="n">
        <v>0</v>
      </c>
      <c r="L1953" t="n">
        <v>0.749</v>
      </c>
      <c r="M1953" t="n">
        <v>0.251</v>
      </c>
    </row>
    <row r="1954" spans="1:13">
      <c r="A1954" s="1">
        <f>HYPERLINK("http://www.twitter.com/NathanBLawrence/status/939309767398428679", "939309767398428679")</f>
        <v/>
      </c>
      <c r="B1954" s="2" t="n">
        <v>43078.07261574074</v>
      </c>
      <c r="C1954" t="n">
        <v>0</v>
      </c>
      <c r="D1954" t="n">
        <v>0</v>
      </c>
      <c r="E1954" t="s">
        <v>1964</v>
      </c>
      <c r="F1954" t="s"/>
      <c r="G1954" t="s"/>
      <c r="H1954" t="s"/>
      <c r="I1954" t="s"/>
      <c r="J1954" t="n">
        <v>-0.3239</v>
      </c>
      <c r="K1954" t="n">
        <v>0.134</v>
      </c>
      <c r="L1954" t="n">
        <v>0.866</v>
      </c>
      <c r="M1954" t="n">
        <v>0</v>
      </c>
    </row>
    <row r="1955" spans="1:13">
      <c r="A1955" s="1">
        <f>HYPERLINK("http://www.twitter.com/NathanBLawrence/status/939308585804271616", "939308585804271616")</f>
        <v/>
      </c>
      <c r="B1955" s="2" t="n">
        <v>43078.06936342592</v>
      </c>
      <c r="C1955" t="n">
        <v>1</v>
      </c>
      <c r="D1955" t="n">
        <v>0</v>
      </c>
      <c r="E1955" t="s">
        <v>1965</v>
      </c>
      <c r="F1955" t="s"/>
      <c r="G1955" t="s"/>
      <c r="H1955" t="s"/>
      <c r="I1955" t="s"/>
      <c r="J1955" t="n">
        <v>0.7825</v>
      </c>
      <c r="K1955" t="n">
        <v>0</v>
      </c>
      <c r="L1955" t="n">
        <v>0.593</v>
      </c>
      <c r="M1955" t="n">
        <v>0.407</v>
      </c>
    </row>
    <row r="1956" spans="1:13">
      <c r="A1956" s="1">
        <f>HYPERLINK("http://www.twitter.com/NathanBLawrence/status/939296328827404289", "939296328827404289")</f>
        <v/>
      </c>
      <c r="B1956" s="2" t="n">
        <v>43078.0355324074</v>
      </c>
      <c r="C1956" t="n">
        <v>0</v>
      </c>
      <c r="D1956" t="n">
        <v>0</v>
      </c>
      <c r="E1956" t="s">
        <v>1966</v>
      </c>
      <c r="F1956" t="s"/>
      <c r="G1956" t="s"/>
      <c r="H1956" t="s"/>
      <c r="I1956" t="s"/>
      <c r="J1956" t="n">
        <v>0.5951</v>
      </c>
      <c r="K1956" t="n">
        <v>0</v>
      </c>
      <c r="L1956" t="n">
        <v>0.831</v>
      </c>
      <c r="M1956" t="n">
        <v>0.169</v>
      </c>
    </row>
    <row r="1957" spans="1:13">
      <c r="A1957" s="1">
        <f>HYPERLINK("http://www.twitter.com/NathanBLawrence/status/939295272299106305", "939295272299106305")</f>
        <v/>
      </c>
      <c r="B1957" s="2" t="n">
        <v>43078.03261574074</v>
      </c>
      <c r="C1957" t="n">
        <v>0</v>
      </c>
      <c r="D1957" t="n">
        <v>0</v>
      </c>
      <c r="E1957" t="s">
        <v>1967</v>
      </c>
      <c r="F1957" t="s"/>
      <c r="G1957" t="s"/>
      <c r="H1957" t="s"/>
      <c r="I1957" t="s"/>
      <c r="J1957" t="n">
        <v>0</v>
      </c>
      <c r="K1957" t="n">
        <v>0</v>
      </c>
      <c r="L1957" t="n">
        <v>1</v>
      </c>
      <c r="M1957" t="n">
        <v>0</v>
      </c>
    </row>
    <row r="1958" spans="1:13">
      <c r="A1958" s="1">
        <f>HYPERLINK("http://www.twitter.com/NathanBLawrence/status/939294953313853442", "939294953313853442")</f>
        <v/>
      </c>
      <c r="B1958" s="2" t="n">
        <v>43078.03173611111</v>
      </c>
      <c r="C1958" t="n">
        <v>0</v>
      </c>
      <c r="D1958" t="n">
        <v>0</v>
      </c>
      <c r="E1958" t="s">
        <v>1968</v>
      </c>
      <c r="F1958" t="s"/>
      <c r="G1958" t="s"/>
      <c r="H1958" t="s"/>
      <c r="I1958" t="s"/>
      <c r="J1958" t="n">
        <v>0.3094</v>
      </c>
      <c r="K1958" t="n">
        <v>0</v>
      </c>
      <c r="L1958" t="n">
        <v>0.861</v>
      </c>
      <c r="M1958" t="n">
        <v>0.139</v>
      </c>
    </row>
    <row r="1959" spans="1:13">
      <c r="A1959" s="1">
        <f>HYPERLINK("http://www.twitter.com/NathanBLawrence/status/939292940320608256", "939292940320608256")</f>
        <v/>
      </c>
      <c r="B1959" s="2" t="n">
        <v>43078.02618055556</v>
      </c>
      <c r="C1959" t="n">
        <v>0</v>
      </c>
      <c r="D1959" t="n">
        <v>0</v>
      </c>
      <c r="E1959" t="s">
        <v>1969</v>
      </c>
      <c r="F1959" t="s"/>
      <c r="G1959" t="s"/>
      <c r="H1959" t="s"/>
      <c r="I1959" t="s"/>
      <c r="J1959" t="n">
        <v>0.5826</v>
      </c>
      <c r="K1959" t="n">
        <v>0</v>
      </c>
      <c r="L1959" t="n">
        <v>0.679</v>
      </c>
      <c r="M1959" t="n">
        <v>0.321</v>
      </c>
    </row>
    <row r="1960" spans="1:13">
      <c r="A1960" s="1">
        <f>HYPERLINK("http://www.twitter.com/NathanBLawrence/status/939292718710317056", "939292718710317056")</f>
        <v/>
      </c>
      <c r="B1960" s="2" t="n">
        <v>43078.0255787037</v>
      </c>
      <c r="C1960" t="n">
        <v>0</v>
      </c>
      <c r="D1960" t="n">
        <v>0</v>
      </c>
      <c r="E1960" t="s">
        <v>1970</v>
      </c>
      <c r="F1960" t="s"/>
      <c r="G1960" t="s"/>
      <c r="H1960" t="s"/>
      <c r="I1960" t="s"/>
      <c r="J1960" t="n">
        <v>-0.6808</v>
      </c>
      <c r="K1960" t="n">
        <v>0.261</v>
      </c>
      <c r="L1960" t="n">
        <v>0.739</v>
      </c>
      <c r="M1960" t="n">
        <v>0</v>
      </c>
    </row>
    <row r="1961" spans="1:13">
      <c r="A1961" s="1">
        <f>HYPERLINK("http://www.twitter.com/NathanBLawrence/status/939291388876935169", "939291388876935169")</f>
        <v/>
      </c>
      <c r="B1961" s="2" t="n">
        <v>43078.02189814814</v>
      </c>
      <c r="C1961" t="n">
        <v>1</v>
      </c>
      <c r="D1961" t="n">
        <v>0</v>
      </c>
      <c r="E1961" t="s">
        <v>1971</v>
      </c>
      <c r="F1961" t="s"/>
      <c r="G1961" t="s"/>
      <c r="H1961" t="s"/>
      <c r="I1961" t="s"/>
      <c r="J1961" t="n">
        <v>0</v>
      </c>
      <c r="K1961" t="n">
        <v>0</v>
      </c>
      <c r="L1961" t="n">
        <v>1</v>
      </c>
      <c r="M1961" t="n">
        <v>0</v>
      </c>
    </row>
    <row r="1962" spans="1:13">
      <c r="A1962" s="1">
        <f>HYPERLINK("http://www.twitter.com/NathanBLawrence/status/939290505770348546", "939290505770348546")</f>
        <v/>
      </c>
      <c r="B1962" s="2" t="n">
        <v>43078.0194675926</v>
      </c>
      <c r="C1962" t="n">
        <v>0</v>
      </c>
      <c r="D1962" t="n">
        <v>0</v>
      </c>
      <c r="E1962" t="s">
        <v>1972</v>
      </c>
      <c r="F1962" t="s"/>
      <c r="G1962" t="s"/>
      <c r="H1962" t="s"/>
      <c r="I1962" t="s"/>
      <c r="J1962" t="n">
        <v>0.5574</v>
      </c>
      <c r="K1962" t="n">
        <v>0</v>
      </c>
      <c r="L1962" t="n">
        <v>0.714</v>
      </c>
      <c r="M1962" t="n">
        <v>0.286</v>
      </c>
    </row>
    <row r="1963" spans="1:13">
      <c r="A1963" s="1">
        <f>HYPERLINK("http://www.twitter.com/NathanBLawrence/status/939220205905022978", "939220205905022978")</f>
        <v/>
      </c>
      <c r="B1963" s="2" t="n">
        <v>43077.82547453704</v>
      </c>
      <c r="C1963" t="n">
        <v>2</v>
      </c>
      <c r="D1963" t="n">
        <v>0</v>
      </c>
      <c r="E1963" t="s">
        <v>1973</v>
      </c>
      <c r="F1963" t="s"/>
      <c r="G1963" t="s"/>
      <c r="H1963" t="s"/>
      <c r="I1963" t="s"/>
      <c r="J1963" t="n">
        <v>0</v>
      </c>
      <c r="K1963" t="n">
        <v>0</v>
      </c>
      <c r="L1963" t="n">
        <v>1</v>
      </c>
      <c r="M1963" t="n">
        <v>0</v>
      </c>
    </row>
    <row r="1964" spans="1:13">
      <c r="A1964" s="1">
        <f>HYPERLINK("http://www.twitter.com/NathanBLawrence/status/939188157282770944", "939188157282770944")</f>
        <v/>
      </c>
      <c r="B1964" s="2" t="n">
        <v>43077.73703703703</v>
      </c>
      <c r="C1964" t="n">
        <v>0</v>
      </c>
      <c r="D1964" t="n">
        <v>0</v>
      </c>
      <c r="E1964" t="s">
        <v>1974</v>
      </c>
      <c r="F1964" t="s"/>
      <c r="G1964" t="s"/>
      <c r="H1964" t="s"/>
      <c r="I1964" t="s"/>
      <c r="J1964" t="n">
        <v>0</v>
      </c>
      <c r="K1964" t="n">
        <v>0</v>
      </c>
      <c r="L1964" t="n">
        <v>1</v>
      </c>
      <c r="M1964" t="n">
        <v>0</v>
      </c>
    </row>
    <row r="1965" spans="1:13">
      <c r="A1965" s="1">
        <f>HYPERLINK("http://www.twitter.com/NathanBLawrence/status/939187747075624962", "939187747075624962")</f>
        <v/>
      </c>
      <c r="B1965" s="2" t="n">
        <v>43077.73590277778</v>
      </c>
      <c r="C1965" t="n">
        <v>0</v>
      </c>
      <c r="D1965" t="n">
        <v>0</v>
      </c>
      <c r="E1965" t="s">
        <v>1975</v>
      </c>
      <c r="F1965" t="s"/>
      <c r="G1965" t="s"/>
      <c r="H1965" t="s"/>
      <c r="I1965" t="s"/>
      <c r="J1965" t="n">
        <v>-0.5255</v>
      </c>
      <c r="K1965" t="n">
        <v>0.184</v>
      </c>
      <c r="L1965" t="n">
        <v>0.8159999999999999</v>
      </c>
      <c r="M1965" t="n">
        <v>0</v>
      </c>
    </row>
    <row r="1966" spans="1:13">
      <c r="A1966" s="1">
        <f>HYPERLINK("http://www.twitter.com/NathanBLawrence/status/939184792905633793", "939184792905633793")</f>
        <v/>
      </c>
      <c r="B1966" s="2" t="n">
        <v>43077.72775462963</v>
      </c>
      <c r="C1966" t="n">
        <v>0</v>
      </c>
      <c r="D1966" t="n">
        <v>0</v>
      </c>
      <c r="E1966" t="s">
        <v>1976</v>
      </c>
      <c r="F1966" t="s"/>
      <c r="G1966" t="s"/>
      <c r="H1966" t="s"/>
      <c r="I1966" t="s"/>
      <c r="J1966" t="n">
        <v>0</v>
      </c>
      <c r="K1966" t="n">
        <v>0</v>
      </c>
      <c r="L1966" t="n">
        <v>1</v>
      </c>
      <c r="M1966" t="n">
        <v>0</v>
      </c>
    </row>
    <row r="1967" spans="1:13">
      <c r="A1967" s="1">
        <f>HYPERLINK("http://www.twitter.com/NathanBLawrence/status/939182221969313792", "939182221969313792")</f>
        <v/>
      </c>
      <c r="B1967" s="2" t="n">
        <v>43077.72065972222</v>
      </c>
      <c r="C1967" t="n">
        <v>0</v>
      </c>
      <c r="D1967" t="n">
        <v>2140</v>
      </c>
      <c r="E1967" t="s">
        <v>1977</v>
      </c>
      <c r="F1967" t="s"/>
      <c r="G1967" t="s"/>
      <c r="H1967" t="s"/>
      <c r="I1967" t="s"/>
      <c r="J1967" t="n">
        <v>-0.9843</v>
      </c>
      <c r="K1967" t="n">
        <v>0.664</v>
      </c>
      <c r="L1967" t="n">
        <v>0.336</v>
      </c>
      <c r="M1967" t="n">
        <v>0</v>
      </c>
    </row>
    <row r="1968" spans="1:13">
      <c r="A1968" s="1">
        <f>HYPERLINK("http://www.twitter.com/NathanBLawrence/status/939179058495188993", "939179058495188993")</f>
        <v/>
      </c>
      <c r="B1968" s="2" t="n">
        <v>43077.71193287037</v>
      </c>
      <c r="C1968" t="n">
        <v>3</v>
      </c>
      <c r="D1968" t="n">
        <v>1</v>
      </c>
      <c r="E1968" t="s">
        <v>1978</v>
      </c>
      <c r="F1968" t="s"/>
      <c r="G1968" t="s"/>
      <c r="H1968" t="s"/>
      <c r="I1968" t="s"/>
      <c r="J1968" t="n">
        <v>0</v>
      </c>
      <c r="K1968" t="n">
        <v>0</v>
      </c>
      <c r="L1968" t="n">
        <v>1</v>
      </c>
      <c r="M1968" t="n">
        <v>0</v>
      </c>
    </row>
    <row r="1969" spans="1:13">
      <c r="A1969" s="1">
        <f>HYPERLINK("http://www.twitter.com/NathanBLawrence/status/939171450568704000", "939171450568704000")</f>
        <v/>
      </c>
      <c r="B1969" s="2" t="n">
        <v>43077.6909375</v>
      </c>
      <c r="C1969" t="n">
        <v>0</v>
      </c>
      <c r="D1969" t="n">
        <v>0</v>
      </c>
      <c r="E1969" t="s">
        <v>1979</v>
      </c>
      <c r="F1969" t="s"/>
      <c r="G1969" t="s"/>
      <c r="H1969" t="s"/>
      <c r="I1969" t="s"/>
      <c r="J1969" t="n">
        <v>0.1139</v>
      </c>
      <c r="K1969" t="n">
        <v>0</v>
      </c>
      <c r="L1969" t="n">
        <v>0.926</v>
      </c>
      <c r="M1969" t="n">
        <v>0.074</v>
      </c>
    </row>
    <row r="1970" spans="1:13">
      <c r="A1970" s="1">
        <f>HYPERLINK("http://www.twitter.com/NathanBLawrence/status/939153895917572103", "939153895917572103")</f>
        <v/>
      </c>
      <c r="B1970" s="2" t="n">
        <v>43077.6425</v>
      </c>
      <c r="C1970" t="n">
        <v>0</v>
      </c>
      <c r="D1970" t="n">
        <v>0</v>
      </c>
      <c r="E1970" t="s">
        <v>1980</v>
      </c>
      <c r="F1970" t="s"/>
      <c r="G1970" t="s"/>
      <c r="H1970" t="s"/>
      <c r="I1970" t="s"/>
      <c r="J1970" t="n">
        <v>-0.128</v>
      </c>
      <c r="K1970" t="n">
        <v>0.077</v>
      </c>
      <c r="L1970" t="n">
        <v>0.923</v>
      </c>
      <c r="M1970" t="n">
        <v>0</v>
      </c>
    </row>
    <row r="1971" spans="1:13">
      <c r="A1971" s="1">
        <f>HYPERLINK("http://www.twitter.com/NathanBLawrence/status/939151507869577224", "939151507869577224")</f>
        <v/>
      </c>
      <c r="B1971" s="2" t="n">
        <v>43077.63590277778</v>
      </c>
      <c r="C1971" t="n">
        <v>0</v>
      </c>
      <c r="D1971" t="n">
        <v>0</v>
      </c>
      <c r="E1971" t="s">
        <v>1981</v>
      </c>
      <c r="F1971" t="s"/>
      <c r="G1971" t="s"/>
      <c r="H1971" t="s"/>
      <c r="I1971" t="s"/>
      <c r="J1971" t="n">
        <v>-0.128</v>
      </c>
      <c r="K1971" t="n">
        <v>0.073</v>
      </c>
      <c r="L1971" t="n">
        <v>0.866</v>
      </c>
      <c r="M1971" t="n">
        <v>0.06</v>
      </c>
    </row>
    <row r="1972" spans="1:13">
      <c r="A1972" s="1">
        <f>HYPERLINK("http://www.twitter.com/NathanBLawrence/status/939137499267567616", "939137499267567616")</f>
        <v/>
      </c>
      <c r="B1972" s="2" t="n">
        <v>43077.59724537037</v>
      </c>
      <c r="C1972" t="n">
        <v>0</v>
      </c>
      <c r="D1972" t="n">
        <v>0</v>
      </c>
      <c r="E1972" t="s">
        <v>1982</v>
      </c>
      <c r="F1972" t="s"/>
      <c r="G1972" t="s"/>
      <c r="H1972" t="s"/>
      <c r="I1972" t="s"/>
      <c r="J1972" t="n">
        <v>0.4754</v>
      </c>
      <c r="K1972" t="n">
        <v>0</v>
      </c>
      <c r="L1972" t="n">
        <v>0.66</v>
      </c>
      <c r="M1972" t="n">
        <v>0.34</v>
      </c>
    </row>
    <row r="1973" spans="1:13">
      <c r="A1973" s="1">
        <f>HYPERLINK("http://www.twitter.com/NathanBLawrence/status/939123629559832576", "939123629559832576")</f>
        <v/>
      </c>
      <c r="B1973" s="2" t="n">
        <v>43077.55898148148</v>
      </c>
      <c r="C1973" t="n">
        <v>0</v>
      </c>
      <c r="D1973" t="n">
        <v>0</v>
      </c>
      <c r="E1973" t="s">
        <v>1983</v>
      </c>
      <c r="F1973" t="s"/>
      <c r="G1973" t="s"/>
      <c r="H1973" t="s"/>
      <c r="I1973" t="s"/>
      <c r="J1973" t="n">
        <v>0.7184</v>
      </c>
      <c r="K1973" t="n">
        <v>0</v>
      </c>
      <c r="L1973" t="n">
        <v>0.5</v>
      </c>
      <c r="M1973" t="n">
        <v>0.5</v>
      </c>
    </row>
    <row r="1974" spans="1:13">
      <c r="A1974" s="1">
        <f>HYPERLINK("http://www.twitter.com/NathanBLawrence/status/939122264360054785", "939122264360054785")</f>
        <v/>
      </c>
      <c r="B1974" s="2" t="n">
        <v>43077.55520833333</v>
      </c>
      <c r="C1974" t="n">
        <v>0</v>
      </c>
      <c r="D1974" t="n">
        <v>0</v>
      </c>
      <c r="E1974" t="s">
        <v>1984</v>
      </c>
      <c r="F1974" t="s"/>
      <c r="G1974" t="s"/>
      <c r="H1974" t="s"/>
      <c r="I1974" t="s"/>
      <c r="J1974" t="n">
        <v>0</v>
      </c>
      <c r="K1974" t="n">
        <v>0</v>
      </c>
      <c r="L1974" t="n">
        <v>1</v>
      </c>
      <c r="M1974" t="n">
        <v>0</v>
      </c>
    </row>
    <row r="1975" spans="1:13">
      <c r="A1975" s="1">
        <f>HYPERLINK("http://www.twitter.com/NathanBLawrence/status/938973737424248832", "938973737424248832")</f>
        <v/>
      </c>
      <c r="B1975" s="2" t="n">
        <v>43077.14534722222</v>
      </c>
      <c r="C1975" t="n">
        <v>0</v>
      </c>
      <c r="D1975" t="n">
        <v>1815</v>
      </c>
      <c r="E1975" t="s">
        <v>1985</v>
      </c>
      <c r="F1975">
        <f>HYPERLINK("http://pbs.twimg.com/media/DQfUoxUV4AADud1.jpg", "http://pbs.twimg.com/media/DQfUoxUV4AADud1.jpg")</f>
        <v/>
      </c>
      <c r="G1975" t="s"/>
      <c r="H1975" t="s"/>
      <c r="I1975" t="s"/>
      <c r="J1975" t="n">
        <v>0.4588</v>
      </c>
      <c r="K1975" t="n">
        <v>0.083</v>
      </c>
      <c r="L1975" t="n">
        <v>0.725</v>
      </c>
      <c r="M1975" t="n">
        <v>0.192</v>
      </c>
    </row>
    <row r="1976" spans="1:13">
      <c r="A1976" s="1">
        <f>HYPERLINK("http://www.twitter.com/NathanBLawrence/status/938941359792230400", "938941359792230400")</f>
        <v/>
      </c>
      <c r="B1976" s="2" t="n">
        <v>43077.05600694445</v>
      </c>
      <c r="C1976" t="n">
        <v>1</v>
      </c>
      <c r="D1976" t="n">
        <v>0</v>
      </c>
      <c r="E1976" t="s">
        <v>1986</v>
      </c>
      <c r="F1976" t="s"/>
      <c r="G1976" t="s"/>
      <c r="H1976" t="s"/>
      <c r="I1976" t="s"/>
      <c r="J1976" t="n">
        <v>0</v>
      </c>
      <c r="K1976" t="n">
        <v>0</v>
      </c>
      <c r="L1976" t="n">
        <v>1</v>
      </c>
      <c r="M1976" t="n">
        <v>0</v>
      </c>
    </row>
    <row r="1977" spans="1:13">
      <c r="A1977" s="1">
        <f>HYPERLINK("http://www.twitter.com/NathanBLawrence/status/938884194025033729", "938884194025033729")</f>
        <v/>
      </c>
      <c r="B1977" s="2" t="n">
        <v>43076.89826388889</v>
      </c>
      <c r="C1977" t="n">
        <v>0</v>
      </c>
      <c r="D1977" t="n">
        <v>0</v>
      </c>
      <c r="E1977" t="s">
        <v>1987</v>
      </c>
      <c r="F1977" t="s"/>
      <c r="G1977" t="s"/>
      <c r="H1977" t="s"/>
      <c r="I1977" t="s"/>
      <c r="J1977" t="n">
        <v>0.6771</v>
      </c>
      <c r="K1977" t="n">
        <v>0</v>
      </c>
      <c r="L1977" t="n">
        <v>0.664</v>
      </c>
      <c r="M1977" t="n">
        <v>0.336</v>
      </c>
    </row>
    <row r="1978" spans="1:13">
      <c r="A1978" s="1">
        <f>HYPERLINK("http://www.twitter.com/NathanBLawrence/status/938866511615348736", "938866511615348736")</f>
        <v/>
      </c>
      <c r="B1978" s="2" t="n">
        <v>43076.84946759259</v>
      </c>
      <c r="C1978" t="n">
        <v>0</v>
      </c>
      <c r="D1978" t="n">
        <v>57</v>
      </c>
      <c r="E1978" t="s">
        <v>1988</v>
      </c>
      <c r="F1978">
        <f>HYPERLINK("http://pbs.twimg.com/media/DQeDfwZVAAYHBbC.jpg", "http://pbs.twimg.com/media/DQeDfwZVAAYHBbC.jpg")</f>
        <v/>
      </c>
      <c r="G1978" t="s"/>
      <c r="H1978" t="s"/>
      <c r="I1978" t="s"/>
      <c r="J1978" t="n">
        <v>0.3182</v>
      </c>
      <c r="K1978" t="n">
        <v>0</v>
      </c>
      <c r="L1978" t="n">
        <v>0.887</v>
      </c>
      <c r="M1978" t="n">
        <v>0.113</v>
      </c>
    </row>
    <row r="1979" spans="1:13">
      <c r="A1979" s="1">
        <f>HYPERLINK("http://www.twitter.com/NathanBLawrence/status/938856260505653249", "938856260505653249")</f>
        <v/>
      </c>
      <c r="B1979" s="2" t="n">
        <v>43076.82118055555</v>
      </c>
      <c r="C1979" t="n">
        <v>1</v>
      </c>
      <c r="D1979" t="n">
        <v>0</v>
      </c>
      <c r="E1979" t="s">
        <v>1989</v>
      </c>
      <c r="F1979" t="s"/>
      <c r="G1979" t="s"/>
      <c r="H1979" t="s"/>
      <c r="I1979" t="s"/>
      <c r="J1979" t="n">
        <v>-0.4767</v>
      </c>
      <c r="K1979" t="n">
        <v>0.279</v>
      </c>
      <c r="L1979" t="n">
        <v>0.721</v>
      </c>
      <c r="M1979" t="n">
        <v>0</v>
      </c>
    </row>
    <row r="1980" spans="1:13">
      <c r="A1980" s="1">
        <f>HYPERLINK("http://www.twitter.com/NathanBLawrence/status/938851900790837249", "938851900790837249")</f>
        <v/>
      </c>
      <c r="B1980" s="2" t="n">
        <v>43076.80914351852</v>
      </c>
      <c r="C1980" t="n">
        <v>0</v>
      </c>
      <c r="D1980" t="n">
        <v>0</v>
      </c>
      <c r="E1980" t="s">
        <v>1990</v>
      </c>
      <c r="F1980" t="s"/>
      <c r="G1980" t="s"/>
      <c r="H1980" t="s"/>
      <c r="I1980" t="s"/>
      <c r="J1980" t="n">
        <v>0</v>
      </c>
      <c r="K1980" t="n">
        <v>0</v>
      </c>
      <c r="L1980" t="n">
        <v>1</v>
      </c>
      <c r="M1980" t="n">
        <v>0</v>
      </c>
    </row>
    <row r="1981" spans="1:13">
      <c r="A1981" s="1">
        <f>HYPERLINK("http://www.twitter.com/NathanBLawrence/status/938826867020267520", "938826867020267520")</f>
        <v/>
      </c>
      <c r="B1981" s="2" t="n">
        <v>43076.74006944444</v>
      </c>
      <c r="C1981" t="n">
        <v>0</v>
      </c>
      <c r="D1981" t="n">
        <v>0</v>
      </c>
      <c r="E1981" t="s">
        <v>1991</v>
      </c>
      <c r="F1981" t="s"/>
      <c r="G1981" t="s"/>
      <c r="H1981" t="s"/>
      <c r="I1981" t="s"/>
      <c r="J1981" t="n">
        <v>0.5719</v>
      </c>
      <c r="K1981" t="n">
        <v>0</v>
      </c>
      <c r="L1981" t="n">
        <v>0.654</v>
      </c>
      <c r="M1981" t="n">
        <v>0.346</v>
      </c>
    </row>
    <row r="1982" spans="1:13">
      <c r="A1982" s="1">
        <f>HYPERLINK("http://www.twitter.com/NathanBLawrence/status/938823632050118656", "938823632050118656")</f>
        <v/>
      </c>
      <c r="B1982" s="2" t="n">
        <v>43076.73114583334</v>
      </c>
      <c r="C1982" t="n">
        <v>0</v>
      </c>
      <c r="D1982" t="n">
        <v>0</v>
      </c>
      <c r="E1982" t="s">
        <v>1992</v>
      </c>
      <c r="F1982" t="s"/>
      <c r="G1982" t="s"/>
      <c r="H1982" t="s"/>
      <c r="I1982" t="s"/>
      <c r="J1982" t="n">
        <v>0</v>
      </c>
      <c r="K1982" t="n">
        <v>0</v>
      </c>
      <c r="L1982" t="n">
        <v>1</v>
      </c>
      <c r="M1982" t="n">
        <v>0</v>
      </c>
    </row>
    <row r="1983" spans="1:13">
      <c r="A1983" s="1">
        <f>HYPERLINK("http://www.twitter.com/NathanBLawrence/status/938731895269019648", "938731895269019648")</f>
        <v/>
      </c>
      <c r="B1983" s="2" t="n">
        <v>43076.47799768519</v>
      </c>
      <c r="C1983" t="n">
        <v>0</v>
      </c>
      <c r="D1983" t="n">
        <v>0</v>
      </c>
      <c r="E1983" t="s">
        <v>1993</v>
      </c>
      <c r="F1983" t="s"/>
      <c r="G1983" t="s"/>
      <c r="H1983" t="s"/>
      <c r="I1983" t="s"/>
      <c r="J1983" t="n">
        <v>0.3182</v>
      </c>
      <c r="K1983" t="n">
        <v>0</v>
      </c>
      <c r="L1983" t="n">
        <v>0.465</v>
      </c>
      <c r="M1983" t="n">
        <v>0.535</v>
      </c>
    </row>
    <row r="1984" spans="1:13">
      <c r="A1984" s="1">
        <f>HYPERLINK("http://www.twitter.com/NathanBLawrence/status/938435185389064192", "938435185389064192")</f>
        <v/>
      </c>
      <c r="B1984" s="2" t="n">
        <v>43075.65923611111</v>
      </c>
      <c r="C1984" t="n">
        <v>0</v>
      </c>
      <c r="D1984" t="n">
        <v>2774</v>
      </c>
      <c r="E1984" t="s">
        <v>1994</v>
      </c>
      <c r="F1984" t="s"/>
      <c r="G1984" t="s"/>
      <c r="H1984" t="s"/>
      <c r="I1984" t="s"/>
      <c r="J1984" t="n">
        <v>0</v>
      </c>
      <c r="K1984" t="n">
        <v>0</v>
      </c>
      <c r="L1984" t="n">
        <v>1</v>
      </c>
      <c r="M1984" t="n">
        <v>0</v>
      </c>
    </row>
    <row r="1985" spans="1:13">
      <c r="A1985" s="1">
        <f>HYPERLINK("http://www.twitter.com/NathanBLawrence/status/938427574279196672", "938427574279196672")</f>
        <v/>
      </c>
      <c r="B1985" s="2" t="n">
        <v>43075.63822916667</v>
      </c>
      <c r="C1985" t="n">
        <v>0</v>
      </c>
      <c r="D1985" t="n">
        <v>404</v>
      </c>
      <c r="E1985" t="s">
        <v>1995</v>
      </c>
      <c r="F1985">
        <f>HYPERLINK("http://pbs.twimg.com/media/DQXtqtgXkAEkmDb.jpg", "http://pbs.twimg.com/media/DQXtqtgXkAEkmDb.jpg")</f>
        <v/>
      </c>
      <c r="G1985" t="s"/>
      <c r="H1985" t="s"/>
      <c r="I1985" t="s"/>
      <c r="J1985" t="n">
        <v>0</v>
      </c>
      <c r="K1985" t="n">
        <v>0</v>
      </c>
      <c r="L1985" t="n">
        <v>1</v>
      </c>
      <c r="M1985" t="n">
        <v>0</v>
      </c>
    </row>
    <row r="1986" spans="1:13">
      <c r="A1986" s="1">
        <f>HYPERLINK("http://www.twitter.com/NathanBLawrence/status/938427272666722304", "938427272666722304")</f>
        <v/>
      </c>
      <c r="B1986" s="2" t="n">
        <v>43075.63739583334</v>
      </c>
      <c r="C1986" t="n">
        <v>1</v>
      </c>
      <c r="D1986" t="n">
        <v>0</v>
      </c>
      <c r="E1986" t="s">
        <v>1996</v>
      </c>
      <c r="F1986" t="s"/>
      <c r="G1986" t="s"/>
      <c r="H1986" t="s"/>
      <c r="I1986" t="s"/>
      <c r="J1986" t="n">
        <v>0</v>
      </c>
      <c r="K1986" t="n">
        <v>0</v>
      </c>
      <c r="L1986" t="n">
        <v>1</v>
      </c>
      <c r="M1986" t="n">
        <v>0</v>
      </c>
    </row>
    <row r="1987" spans="1:13">
      <c r="A1987" s="1">
        <f>HYPERLINK("http://www.twitter.com/NathanBLawrence/status/938424119598682117", "938424119598682117")</f>
        <v/>
      </c>
      <c r="B1987" s="2" t="n">
        <v>43075.62869212963</v>
      </c>
      <c r="C1987" t="n">
        <v>2</v>
      </c>
      <c r="D1987" t="n">
        <v>0</v>
      </c>
      <c r="E1987" t="s">
        <v>1997</v>
      </c>
      <c r="F1987" t="s"/>
      <c r="G1987" t="s"/>
      <c r="H1987" t="s"/>
      <c r="I1987" t="s"/>
      <c r="J1987" t="n">
        <v>0.7405</v>
      </c>
      <c r="K1987" t="n">
        <v>0.08</v>
      </c>
      <c r="L1987" t="n">
        <v>0.672</v>
      </c>
      <c r="M1987" t="n">
        <v>0.248</v>
      </c>
    </row>
    <row r="1988" spans="1:13">
      <c r="A1988" s="1">
        <f>HYPERLINK("http://www.twitter.com/NathanBLawrence/status/938247344096710656", "938247344096710656")</f>
        <v/>
      </c>
      <c r="B1988" s="2" t="n">
        <v>43075.1408912037</v>
      </c>
      <c r="C1988" t="n">
        <v>0</v>
      </c>
      <c r="D1988" t="n">
        <v>0</v>
      </c>
      <c r="E1988" t="s">
        <v>1998</v>
      </c>
      <c r="F1988" t="s"/>
      <c r="G1988" t="s"/>
      <c r="H1988" t="s"/>
      <c r="I1988" t="s"/>
      <c r="J1988" t="n">
        <v>0.3182</v>
      </c>
      <c r="K1988" t="n">
        <v>0</v>
      </c>
      <c r="L1988" t="n">
        <v>0.753</v>
      </c>
      <c r="M1988" t="n">
        <v>0.247</v>
      </c>
    </row>
    <row r="1989" spans="1:13">
      <c r="A1989" s="1">
        <f>HYPERLINK("http://www.twitter.com/NathanBLawrence/status/938242226894917632", "938242226894917632")</f>
        <v/>
      </c>
      <c r="B1989" s="2" t="n">
        <v>43075.12677083333</v>
      </c>
      <c r="C1989" t="n">
        <v>1</v>
      </c>
      <c r="D1989" t="n">
        <v>0</v>
      </c>
      <c r="E1989" t="s">
        <v>1999</v>
      </c>
      <c r="F1989" t="s"/>
      <c r="G1989" t="s"/>
      <c r="H1989" t="s"/>
      <c r="I1989" t="s"/>
      <c r="J1989" t="n">
        <v>0</v>
      </c>
      <c r="K1989" t="n">
        <v>0</v>
      </c>
      <c r="L1989" t="n">
        <v>1</v>
      </c>
      <c r="M1989" t="n">
        <v>0</v>
      </c>
    </row>
    <row r="1990" spans="1:13">
      <c r="A1990" s="1">
        <f>HYPERLINK("http://www.twitter.com/NathanBLawrence/status/938241354718679040", "938241354718679040")</f>
        <v/>
      </c>
      <c r="B1990" s="2" t="n">
        <v>43075.12436342592</v>
      </c>
      <c r="C1990" t="n">
        <v>0</v>
      </c>
      <c r="D1990" t="n">
        <v>0</v>
      </c>
      <c r="E1990" t="s">
        <v>2000</v>
      </c>
      <c r="F1990" t="s"/>
      <c r="G1990" t="s"/>
      <c r="H1990" t="s"/>
      <c r="I1990" t="s"/>
      <c r="J1990" t="n">
        <v>-0.5106000000000001</v>
      </c>
      <c r="K1990" t="n">
        <v>0.452</v>
      </c>
      <c r="L1990" t="n">
        <v>0.548</v>
      </c>
      <c r="M1990" t="n">
        <v>0</v>
      </c>
    </row>
    <row r="1991" spans="1:13">
      <c r="A1991" s="1">
        <f>HYPERLINK("http://www.twitter.com/NathanBLawrence/status/938237245299060737", "938237245299060737")</f>
        <v/>
      </c>
      <c r="B1991" s="2" t="n">
        <v>43075.11302083333</v>
      </c>
      <c r="C1991" t="n">
        <v>0</v>
      </c>
      <c r="D1991" t="n">
        <v>0</v>
      </c>
      <c r="E1991" t="s">
        <v>2001</v>
      </c>
      <c r="F1991" t="s"/>
      <c r="G1991" t="s"/>
      <c r="H1991" t="s"/>
      <c r="I1991" t="s"/>
      <c r="J1991" t="n">
        <v>-0.4767</v>
      </c>
      <c r="K1991" t="n">
        <v>0.508</v>
      </c>
      <c r="L1991" t="n">
        <v>0.492</v>
      </c>
      <c r="M1991" t="n">
        <v>0</v>
      </c>
    </row>
    <row r="1992" spans="1:13">
      <c r="A1992" s="1">
        <f>HYPERLINK("http://www.twitter.com/NathanBLawrence/status/938236320341774337", "938236320341774337")</f>
        <v/>
      </c>
      <c r="B1992" s="2" t="n">
        <v>43075.11047453704</v>
      </c>
      <c r="C1992" t="n">
        <v>0</v>
      </c>
      <c r="D1992" t="n">
        <v>0</v>
      </c>
      <c r="E1992" t="s">
        <v>2002</v>
      </c>
      <c r="F1992" t="s"/>
      <c r="G1992" t="s"/>
      <c r="H1992" t="s"/>
      <c r="I1992" t="s"/>
      <c r="J1992" t="n">
        <v>0</v>
      </c>
      <c r="K1992" t="n">
        <v>0</v>
      </c>
      <c r="L1992" t="n">
        <v>1</v>
      </c>
      <c r="M1992" t="n">
        <v>0</v>
      </c>
    </row>
    <row r="1993" spans="1:13">
      <c r="A1993" s="1">
        <f>HYPERLINK("http://www.twitter.com/NathanBLawrence/status/938228919614033922", "938228919614033922")</f>
        <v/>
      </c>
      <c r="B1993" s="2" t="n">
        <v>43075.0900462963</v>
      </c>
      <c r="C1993" t="n">
        <v>1</v>
      </c>
      <c r="D1993" t="n">
        <v>0</v>
      </c>
      <c r="E1993" t="s">
        <v>2003</v>
      </c>
      <c r="F1993" t="s"/>
      <c r="G1993" t="s"/>
      <c r="H1993" t="s"/>
      <c r="I1993" t="s"/>
      <c r="J1993" t="n">
        <v>0.5106000000000001</v>
      </c>
      <c r="K1993" t="n">
        <v>0</v>
      </c>
      <c r="L1993" t="n">
        <v>0.784</v>
      </c>
      <c r="M1993" t="n">
        <v>0.216</v>
      </c>
    </row>
    <row r="1994" spans="1:13">
      <c r="A1994" s="1">
        <f>HYPERLINK("http://www.twitter.com/NathanBLawrence/status/938222718524297216", "938222718524297216")</f>
        <v/>
      </c>
      <c r="B1994" s="2" t="n">
        <v>43075.07293981482</v>
      </c>
      <c r="C1994" t="n">
        <v>0</v>
      </c>
      <c r="D1994" t="n">
        <v>0</v>
      </c>
      <c r="E1994" t="s">
        <v>2004</v>
      </c>
      <c r="F1994" t="s"/>
      <c r="G1994" t="s"/>
      <c r="H1994" t="s"/>
      <c r="I1994" t="s"/>
      <c r="J1994" t="n">
        <v>0</v>
      </c>
      <c r="K1994" t="n">
        <v>0</v>
      </c>
      <c r="L1994" t="n">
        <v>1</v>
      </c>
      <c r="M1994" t="n">
        <v>0</v>
      </c>
    </row>
    <row r="1995" spans="1:13">
      <c r="A1995" s="1">
        <f>HYPERLINK("http://www.twitter.com/NathanBLawrence/status/938220890176802816", "938220890176802816")</f>
        <v/>
      </c>
      <c r="B1995" s="2" t="n">
        <v>43075.06789351852</v>
      </c>
      <c r="C1995" t="n">
        <v>0</v>
      </c>
      <c r="D1995" t="n">
        <v>0</v>
      </c>
      <c r="E1995" t="s">
        <v>2005</v>
      </c>
      <c r="F1995" t="s"/>
      <c r="G1995" t="s"/>
      <c r="H1995" t="s"/>
      <c r="I1995" t="s"/>
      <c r="J1995" t="n">
        <v>0.9333</v>
      </c>
      <c r="K1995" t="n">
        <v>0</v>
      </c>
      <c r="L1995" t="n">
        <v>0.666</v>
      </c>
      <c r="M1995" t="n">
        <v>0.334</v>
      </c>
    </row>
    <row r="1996" spans="1:13">
      <c r="A1996" s="1">
        <f>HYPERLINK("http://www.twitter.com/NathanBLawrence/status/938215710483984384", "938215710483984384")</f>
        <v/>
      </c>
      <c r="B1996" s="2" t="n">
        <v>43075.05359953704</v>
      </c>
      <c r="C1996" t="n">
        <v>0</v>
      </c>
      <c r="D1996" t="n">
        <v>5630</v>
      </c>
      <c r="E1996" t="s">
        <v>2006</v>
      </c>
      <c r="F1996" t="s"/>
      <c r="G1996" t="s"/>
      <c r="H1996" t="s"/>
      <c r="I1996" t="s"/>
      <c r="J1996" t="n">
        <v>0.6289</v>
      </c>
      <c r="K1996" t="n">
        <v>0</v>
      </c>
      <c r="L1996" t="n">
        <v>0.836</v>
      </c>
      <c r="M1996" t="n">
        <v>0.164</v>
      </c>
    </row>
    <row r="1997" spans="1:13">
      <c r="A1997" s="1">
        <f>HYPERLINK("http://www.twitter.com/NathanBLawrence/status/938215395311390720", "938215395311390720")</f>
        <v/>
      </c>
      <c r="B1997" s="2" t="n">
        <v>43075.05273148148</v>
      </c>
      <c r="C1997" t="n">
        <v>0</v>
      </c>
      <c r="D1997" t="n">
        <v>0</v>
      </c>
      <c r="E1997" t="s">
        <v>2007</v>
      </c>
      <c r="F1997" t="s"/>
      <c r="G1997" t="s"/>
      <c r="H1997" t="s"/>
      <c r="I1997" t="s"/>
      <c r="J1997" t="n">
        <v>0</v>
      </c>
      <c r="K1997" t="n">
        <v>0</v>
      </c>
      <c r="L1997" t="n">
        <v>1</v>
      </c>
      <c r="M1997" t="n">
        <v>0</v>
      </c>
    </row>
    <row r="1998" spans="1:13">
      <c r="A1998" s="1">
        <f>HYPERLINK("http://www.twitter.com/NathanBLawrence/status/938215243259498496", "938215243259498496")</f>
        <v/>
      </c>
      <c r="B1998" s="2" t="n">
        <v>43075.05230324074</v>
      </c>
      <c r="C1998" t="n">
        <v>0</v>
      </c>
      <c r="D1998" t="n">
        <v>0</v>
      </c>
      <c r="E1998" t="s">
        <v>2008</v>
      </c>
      <c r="F1998" t="s"/>
      <c r="G1998" t="s"/>
      <c r="H1998" t="s"/>
      <c r="I1998" t="s"/>
      <c r="J1998" t="n">
        <v>-0.0772</v>
      </c>
      <c r="K1998" t="n">
        <v>0.076</v>
      </c>
      <c r="L1998" t="n">
        <v>0.865</v>
      </c>
      <c r="M1998" t="n">
        <v>0.059</v>
      </c>
    </row>
    <row r="1999" spans="1:13">
      <c r="A1999" s="1">
        <f>HYPERLINK("http://www.twitter.com/NathanBLawrence/status/938190593083297797", "938190593083297797")</f>
        <v/>
      </c>
      <c r="B1999" s="2" t="n">
        <v>43074.98428240741</v>
      </c>
      <c r="C1999" t="n">
        <v>0</v>
      </c>
      <c r="D1999" t="n">
        <v>0</v>
      </c>
      <c r="E1999" t="s">
        <v>2009</v>
      </c>
      <c r="F1999" t="s"/>
      <c r="G1999" t="s"/>
      <c r="H1999" t="s"/>
      <c r="I1999" t="s"/>
      <c r="J1999" t="n">
        <v>0</v>
      </c>
      <c r="K1999" t="n">
        <v>0</v>
      </c>
      <c r="L1999" t="n">
        <v>1</v>
      </c>
      <c r="M1999" t="n">
        <v>0</v>
      </c>
    </row>
    <row r="2000" spans="1:13">
      <c r="A2000" s="1">
        <f>HYPERLINK("http://www.twitter.com/NathanBLawrence/status/938112625895931904", "938112625895931904")</f>
        <v/>
      </c>
      <c r="B2000" s="2" t="n">
        <v>43074.76913194444</v>
      </c>
      <c r="C2000" t="n">
        <v>0</v>
      </c>
      <c r="D2000" t="n">
        <v>0</v>
      </c>
      <c r="E2000" t="s">
        <v>2010</v>
      </c>
      <c r="F2000" t="s"/>
      <c r="G2000" t="s"/>
      <c r="H2000" t="s"/>
      <c r="I2000" t="s"/>
      <c r="J2000" t="n">
        <v>-0.296</v>
      </c>
      <c r="K2000" t="n">
        <v>0.18</v>
      </c>
      <c r="L2000" t="n">
        <v>0.82</v>
      </c>
      <c r="M2000" t="n">
        <v>0</v>
      </c>
    </row>
    <row r="2001" spans="1:13">
      <c r="A2001" s="1">
        <f>HYPERLINK("http://www.twitter.com/NathanBLawrence/status/938108829446877190", "938108829446877190")</f>
        <v/>
      </c>
      <c r="B2001" s="2" t="n">
        <v>43074.75865740741</v>
      </c>
      <c r="C2001" t="n">
        <v>1</v>
      </c>
      <c r="D2001" t="n">
        <v>0</v>
      </c>
      <c r="E2001" t="s">
        <v>2011</v>
      </c>
      <c r="F2001" t="s"/>
      <c r="G2001" t="s"/>
      <c r="H2001" t="s"/>
      <c r="I2001" t="s"/>
      <c r="J2001" t="n">
        <v>-0.4019</v>
      </c>
      <c r="K2001" t="n">
        <v>0.213</v>
      </c>
      <c r="L2001" t="n">
        <v>0.787</v>
      </c>
      <c r="M2001" t="n">
        <v>0</v>
      </c>
    </row>
    <row r="2002" spans="1:13">
      <c r="A2002" s="1">
        <f>HYPERLINK("http://www.twitter.com/NathanBLawrence/status/938107896583413760", "938107896583413760")</f>
        <v/>
      </c>
      <c r="B2002" s="2" t="n">
        <v>43074.75608796296</v>
      </c>
      <c r="C2002" t="n">
        <v>0</v>
      </c>
      <c r="D2002" t="n">
        <v>0</v>
      </c>
      <c r="E2002" t="s">
        <v>2012</v>
      </c>
      <c r="F2002" t="s"/>
      <c r="G2002" t="s"/>
      <c r="H2002" t="s"/>
      <c r="I2002" t="s"/>
      <c r="J2002" t="n">
        <v>0</v>
      </c>
      <c r="K2002" t="n">
        <v>0</v>
      </c>
      <c r="L2002" t="n">
        <v>1</v>
      </c>
      <c r="M2002" t="n">
        <v>0</v>
      </c>
    </row>
    <row r="2003" spans="1:13">
      <c r="A2003" s="1">
        <f>HYPERLINK("http://www.twitter.com/NathanBLawrence/status/938107482534277120", "938107482534277120")</f>
        <v/>
      </c>
      <c r="B2003" s="2" t="n">
        <v>43074.75494212963</v>
      </c>
      <c r="C2003" t="n">
        <v>0</v>
      </c>
      <c r="D2003" t="n">
        <v>0</v>
      </c>
      <c r="E2003" t="s">
        <v>2013</v>
      </c>
      <c r="F2003" t="s"/>
      <c r="G2003" t="s"/>
      <c r="H2003" t="s"/>
      <c r="I2003" t="s"/>
      <c r="J2003" t="n">
        <v>0.1779</v>
      </c>
      <c r="K2003" t="n">
        <v>0.132</v>
      </c>
      <c r="L2003" t="n">
        <v>0.705</v>
      </c>
      <c r="M2003" t="n">
        <v>0.163</v>
      </c>
    </row>
    <row r="2004" spans="1:13">
      <c r="A2004" s="1">
        <f>HYPERLINK("http://www.twitter.com/NathanBLawrence/status/938058574282088448", "938058574282088448")</f>
        <v/>
      </c>
      <c r="B2004" s="2" t="n">
        <v>43074.61998842593</v>
      </c>
      <c r="C2004" t="n">
        <v>1</v>
      </c>
      <c r="D2004" t="n">
        <v>0</v>
      </c>
      <c r="E2004" t="s">
        <v>2014</v>
      </c>
      <c r="F2004" t="s"/>
      <c r="G2004" t="s"/>
      <c r="H2004" t="s"/>
      <c r="I2004" t="s"/>
      <c r="J2004" t="n">
        <v>0.3612</v>
      </c>
      <c r="K2004" t="n">
        <v>0</v>
      </c>
      <c r="L2004" t="n">
        <v>0.857</v>
      </c>
      <c r="M2004" t="n">
        <v>0.143</v>
      </c>
    </row>
    <row r="2005" spans="1:13">
      <c r="A2005" s="1">
        <f>HYPERLINK("http://www.twitter.com/NathanBLawrence/status/938056268278878209", "938056268278878209")</f>
        <v/>
      </c>
      <c r="B2005" s="2" t="n">
        <v>43074.61362268519</v>
      </c>
      <c r="C2005" t="n">
        <v>0</v>
      </c>
      <c r="D2005" t="n">
        <v>0</v>
      </c>
      <c r="E2005" t="s">
        <v>2015</v>
      </c>
      <c r="F2005" t="s"/>
      <c r="G2005" t="s"/>
      <c r="H2005" t="s"/>
      <c r="I2005" t="s"/>
      <c r="J2005" t="n">
        <v>0</v>
      </c>
      <c r="K2005" t="n">
        <v>0</v>
      </c>
      <c r="L2005" t="n">
        <v>1</v>
      </c>
      <c r="M2005" t="n">
        <v>0</v>
      </c>
    </row>
    <row r="2006" spans="1:13">
      <c r="A2006" s="1">
        <f>HYPERLINK("http://www.twitter.com/NathanBLawrence/status/938055296701870080", "938055296701870080")</f>
        <v/>
      </c>
      <c r="B2006" s="2" t="n">
        <v>43074.6109375</v>
      </c>
      <c r="C2006" t="n">
        <v>0</v>
      </c>
      <c r="D2006" t="n">
        <v>0</v>
      </c>
      <c r="E2006" t="s">
        <v>2016</v>
      </c>
      <c r="F2006" t="s"/>
      <c r="G2006" t="s"/>
      <c r="H2006" t="s"/>
      <c r="I2006" t="s"/>
      <c r="J2006" t="n">
        <v>-0.5216</v>
      </c>
      <c r="K2006" t="n">
        <v>0.151</v>
      </c>
      <c r="L2006" t="n">
        <v>0.849</v>
      </c>
      <c r="M2006" t="n">
        <v>0</v>
      </c>
    </row>
    <row r="2007" spans="1:13">
      <c r="A2007" s="1">
        <f>HYPERLINK("http://www.twitter.com/NathanBLawrence/status/938053858932285440", "938053858932285440")</f>
        <v/>
      </c>
      <c r="B2007" s="2" t="n">
        <v>43074.60696759259</v>
      </c>
      <c r="C2007" t="n">
        <v>0</v>
      </c>
      <c r="D2007" t="n">
        <v>0</v>
      </c>
      <c r="E2007" t="s">
        <v>2017</v>
      </c>
      <c r="F2007" t="s"/>
      <c r="G2007" t="s"/>
      <c r="H2007" t="s"/>
      <c r="I2007" t="s"/>
      <c r="J2007" t="n">
        <v>0.6884</v>
      </c>
      <c r="K2007" t="n">
        <v>0</v>
      </c>
      <c r="L2007" t="n">
        <v>0.6</v>
      </c>
      <c r="M2007" t="n">
        <v>0.4</v>
      </c>
    </row>
    <row r="2008" spans="1:13">
      <c r="A2008" s="1">
        <f>HYPERLINK("http://www.twitter.com/NathanBLawrence/status/938051099600343041", "938051099600343041")</f>
        <v/>
      </c>
      <c r="B2008" s="2" t="n">
        <v>43074.59935185185</v>
      </c>
      <c r="C2008" t="n">
        <v>0</v>
      </c>
      <c r="D2008" t="n">
        <v>0</v>
      </c>
      <c r="E2008" t="s">
        <v>2018</v>
      </c>
      <c r="F2008" t="s"/>
      <c r="G2008" t="s"/>
      <c r="H2008" t="s"/>
      <c r="I2008" t="s"/>
      <c r="J2008" t="n">
        <v>0</v>
      </c>
      <c r="K2008" t="n">
        <v>0</v>
      </c>
      <c r="L2008" t="n">
        <v>1</v>
      </c>
      <c r="M2008" t="n">
        <v>0</v>
      </c>
    </row>
    <row r="2009" spans="1:13">
      <c r="A2009" s="1">
        <f>HYPERLINK("http://www.twitter.com/NathanBLawrence/status/937904936104415232", "937904936104415232")</f>
        <v/>
      </c>
      <c r="B2009" s="2" t="n">
        <v>43074.19601851852</v>
      </c>
      <c r="C2009" t="n">
        <v>0</v>
      </c>
      <c r="D2009" t="n">
        <v>0</v>
      </c>
      <c r="E2009" t="s">
        <v>2019</v>
      </c>
      <c r="F2009" t="s"/>
      <c r="G2009" t="s"/>
      <c r="H2009" t="s"/>
      <c r="I2009" t="s"/>
      <c r="J2009" t="n">
        <v>-0.782</v>
      </c>
      <c r="K2009" t="n">
        <v>0.16</v>
      </c>
      <c r="L2009" t="n">
        <v>0.805</v>
      </c>
      <c r="M2009" t="n">
        <v>0.035</v>
      </c>
    </row>
    <row r="2010" spans="1:13">
      <c r="A2010" s="1">
        <f>HYPERLINK("http://www.twitter.com/NathanBLawrence/status/937901776044425216", "937901776044425216")</f>
        <v/>
      </c>
      <c r="B2010" s="2" t="n">
        <v>43074.18730324074</v>
      </c>
      <c r="C2010" t="n">
        <v>0</v>
      </c>
      <c r="D2010" t="n">
        <v>0</v>
      </c>
      <c r="E2010" t="s">
        <v>2020</v>
      </c>
      <c r="F2010" t="s"/>
      <c r="G2010" t="s"/>
      <c r="H2010" t="s"/>
      <c r="I2010" t="s"/>
      <c r="J2010" t="n">
        <v>0.0772</v>
      </c>
      <c r="K2010" t="n">
        <v>0</v>
      </c>
      <c r="L2010" t="n">
        <v>0.9360000000000001</v>
      </c>
      <c r="M2010" t="n">
        <v>0.064</v>
      </c>
    </row>
    <row r="2011" spans="1:13">
      <c r="A2011" s="1">
        <f>HYPERLINK("http://www.twitter.com/NathanBLawrence/status/937899283164160000", "937899283164160000")</f>
        <v/>
      </c>
      <c r="B2011" s="2" t="n">
        <v>43074.18042824074</v>
      </c>
      <c r="C2011" t="n">
        <v>2</v>
      </c>
      <c r="D2011" t="n">
        <v>0</v>
      </c>
      <c r="E2011" t="s">
        <v>2021</v>
      </c>
      <c r="F2011" t="s"/>
      <c r="G2011" t="s"/>
      <c r="H2011" t="s"/>
      <c r="I2011" t="s"/>
      <c r="J2011" t="n">
        <v>0.4449</v>
      </c>
      <c r="K2011" t="n">
        <v>0</v>
      </c>
      <c r="L2011" t="n">
        <v>0.827</v>
      </c>
      <c r="M2011" t="n">
        <v>0.173</v>
      </c>
    </row>
    <row r="2012" spans="1:13">
      <c r="A2012" s="1">
        <f>HYPERLINK("http://www.twitter.com/NathanBLawrence/status/937889142578536448", "937889142578536448")</f>
        <v/>
      </c>
      <c r="B2012" s="2" t="n">
        <v>43074.15244212963</v>
      </c>
      <c r="C2012" t="n">
        <v>1</v>
      </c>
      <c r="D2012" t="n">
        <v>0</v>
      </c>
      <c r="E2012" t="s">
        <v>2022</v>
      </c>
      <c r="F2012" t="s"/>
      <c r="G2012" t="s"/>
      <c r="H2012" t="s"/>
      <c r="I2012" t="s"/>
      <c r="J2012" t="n">
        <v>-0.5574</v>
      </c>
      <c r="K2012" t="n">
        <v>0.159</v>
      </c>
      <c r="L2012" t="n">
        <v>0.841</v>
      </c>
      <c r="M2012" t="n">
        <v>0</v>
      </c>
    </row>
    <row r="2013" spans="1:13">
      <c r="A2013" s="1">
        <f>HYPERLINK("http://www.twitter.com/NathanBLawrence/status/937886559327662086", "937886559327662086")</f>
        <v/>
      </c>
      <c r="B2013" s="2" t="n">
        <v>43074.1453125</v>
      </c>
      <c r="C2013" t="n">
        <v>0</v>
      </c>
      <c r="D2013" t="n">
        <v>0</v>
      </c>
      <c r="E2013" t="s">
        <v>2023</v>
      </c>
      <c r="F2013" t="s"/>
      <c r="G2013" t="s"/>
      <c r="H2013" t="s"/>
      <c r="I2013" t="s"/>
      <c r="J2013" t="n">
        <v>0.6486</v>
      </c>
      <c r="K2013" t="n">
        <v>0</v>
      </c>
      <c r="L2013" t="n">
        <v>0.361</v>
      </c>
      <c r="M2013" t="n">
        <v>0.639</v>
      </c>
    </row>
    <row r="2014" spans="1:13">
      <c r="A2014" s="1">
        <f>HYPERLINK("http://www.twitter.com/NathanBLawrence/status/937875777110073344", "937875777110073344")</f>
        <v/>
      </c>
      <c r="B2014" s="2" t="n">
        <v>43074.11555555555</v>
      </c>
      <c r="C2014" t="n">
        <v>0</v>
      </c>
      <c r="D2014" t="n">
        <v>0</v>
      </c>
      <c r="E2014" t="s">
        <v>2024</v>
      </c>
      <c r="F2014" t="s"/>
      <c r="G2014" t="s"/>
      <c r="H2014" t="s"/>
      <c r="I2014" t="s"/>
      <c r="J2014" t="n">
        <v>-0.3818</v>
      </c>
      <c r="K2014" t="n">
        <v>0.375</v>
      </c>
      <c r="L2014" t="n">
        <v>0.625</v>
      </c>
      <c r="M2014" t="n">
        <v>0</v>
      </c>
    </row>
    <row r="2015" spans="1:13">
      <c r="A2015" s="1">
        <f>HYPERLINK("http://www.twitter.com/NathanBLawrence/status/937860598817320961", "937860598817320961")</f>
        <v/>
      </c>
      <c r="B2015" s="2" t="n">
        <v>43074.07368055556</v>
      </c>
      <c r="C2015" t="n">
        <v>0</v>
      </c>
      <c r="D2015" t="n">
        <v>0</v>
      </c>
      <c r="E2015" t="s">
        <v>2025</v>
      </c>
      <c r="F2015" t="s"/>
      <c r="G2015" t="s"/>
      <c r="H2015" t="s"/>
      <c r="I2015" t="s"/>
      <c r="J2015" t="n">
        <v>0</v>
      </c>
      <c r="K2015" t="n">
        <v>0</v>
      </c>
      <c r="L2015" t="n">
        <v>1</v>
      </c>
      <c r="M2015" t="n">
        <v>0</v>
      </c>
    </row>
    <row r="2016" spans="1:13">
      <c r="A2016" s="1">
        <f>HYPERLINK("http://www.twitter.com/NathanBLawrence/status/937798131437236225", "937798131437236225")</f>
        <v/>
      </c>
      <c r="B2016" s="2" t="n">
        <v>43073.9012962963</v>
      </c>
      <c r="C2016" t="n">
        <v>0</v>
      </c>
      <c r="D2016" t="n">
        <v>0</v>
      </c>
      <c r="E2016" t="s">
        <v>2026</v>
      </c>
      <c r="F2016" t="s"/>
      <c r="G2016" t="s"/>
      <c r="H2016" t="s"/>
      <c r="I2016" t="s"/>
      <c r="J2016" t="n">
        <v>0</v>
      </c>
      <c r="K2016" t="n">
        <v>0.17</v>
      </c>
      <c r="L2016" t="n">
        <v>0.66</v>
      </c>
      <c r="M2016" t="n">
        <v>0.17</v>
      </c>
    </row>
    <row r="2017" spans="1:13">
      <c r="A2017" s="1">
        <f>HYPERLINK("http://www.twitter.com/NathanBLawrence/status/937764968879083521", "937764968879083521")</f>
        <v/>
      </c>
      <c r="B2017" s="2" t="n">
        <v>43073.80979166667</v>
      </c>
      <c r="C2017" t="n">
        <v>1</v>
      </c>
      <c r="D2017" t="n">
        <v>0</v>
      </c>
      <c r="E2017" t="s">
        <v>2027</v>
      </c>
      <c r="F2017" t="s"/>
      <c r="G2017" t="s"/>
      <c r="H2017" t="s"/>
      <c r="I2017" t="s"/>
      <c r="J2017" t="n">
        <v>0</v>
      </c>
      <c r="K2017" t="n">
        <v>0</v>
      </c>
      <c r="L2017" t="n">
        <v>1</v>
      </c>
      <c r="M2017" t="n">
        <v>0</v>
      </c>
    </row>
    <row r="2018" spans="1:13">
      <c r="A2018" s="1">
        <f>HYPERLINK("http://www.twitter.com/NathanBLawrence/status/937757840315437057", "937757840315437057")</f>
        <v/>
      </c>
      <c r="B2018" s="2" t="n">
        <v>43073.79011574074</v>
      </c>
      <c r="C2018" t="n">
        <v>0</v>
      </c>
      <c r="D2018" t="n">
        <v>0</v>
      </c>
      <c r="E2018" t="s">
        <v>2028</v>
      </c>
      <c r="F2018" t="s"/>
      <c r="G2018" t="s"/>
      <c r="H2018" t="s"/>
      <c r="I2018" t="s"/>
      <c r="J2018" t="n">
        <v>0</v>
      </c>
      <c r="K2018" t="n">
        <v>0</v>
      </c>
      <c r="L2018" t="n">
        <v>1</v>
      </c>
      <c r="M2018" t="n">
        <v>0</v>
      </c>
    </row>
    <row r="2019" spans="1:13">
      <c r="A2019" s="1">
        <f>HYPERLINK("http://www.twitter.com/NathanBLawrence/status/937750526598569984", "937750526598569984")</f>
        <v/>
      </c>
      <c r="B2019" s="2" t="n">
        <v>43073.76993055556</v>
      </c>
      <c r="C2019" t="n">
        <v>1</v>
      </c>
      <c r="D2019" t="n">
        <v>0</v>
      </c>
      <c r="E2019" t="s">
        <v>2029</v>
      </c>
      <c r="F2019" t="s"/>
      <c r="G2019" t="s"/>
      <c r="H2019" t="s"/>
      <c r="I2019" t="s"/>
      <c r="J2019" t="n">
        <v>0</v>
      </c>
      <c r="K2019" t="n">
        <v>0</v>
      </c>
      <c r="L2019" t="n">
        <v>1</v>
      </c>
      <c r="M2019" t="n">
        <v>0</v>
      </c>
    </row>
    <row r="2020" spans="1:13">
      <c r="A2020" s="1">
        <f>HYPERLINK("http://www.twitter.com/NathanBLawrence/status/937749333604265985", "937749333604265985")</f>
        <v/>
      </c>
      <c r="B2020" s="2" t="n">
        <v>43073.76664351852</v>
      </c>
      <c r="C2020" t="n">
        <v>5</v>
      </c>
      <c r="D2020" t="n">
        <v>2</v>
      </c>
      <c r="E2020" t="s">
        <v>2030</v>
      </c>
      <c r="F2020" t="s"/>
      <c r="G2020" t="s"/>
      <c r="H2020" t="s"/>
      <c r="I2020" t="s"/>
      <c r="J2020" t="n">
        <v>-0.2695</v>
      </c>
      <c r="K2020" t="n">
        <v>0.185</v>
      </c>
      <c r="L2020" t="n">
        <v>0.707</v>
      </c>
      <c r="M2020" t="n">
        <v>0.108</v>
      </c>
    </row>
    <row r="2021" spans="1:13">
      <c r="A2021" s="1">
        <f>HYPERLINK("http://www.twitter.com/NathanBLawrence/status/937723853329051648", "937723853329051648")</f>
        <v/>
      </c>
      <c r="B2021" s="2" t="n">
        <v>43073.69633101852</v>
      </c>
      <c r="C2021" t="n">
        <v>1</v>
      </c>
      <c r="D2021" t="n">
        <v>0</v>
      </c>
      <c r="E2021" t="s">
        <v>2031</v>
      </c>
      <c r="F2021" t="s"/>
      <c r="G2021" t="s"/>
      <c r="H2021" t="s"/>
      <c r="I2021" t="s"/>
      <c r="J2021" t="n">
        <v>0.0258</v>
      </c>
      <c r="K2021" t="n">
        <v>0</v>
      </c>
      <c r="L2021" t="n">
        <v>0.909</v>
      </c>
      <c r="M2021" t="n">
        <v>0.091</v>
      </c>
    </row>
    <row r="2022" spans="1:13">
      <c r="A2022" s="1">
        <f>HYPERLINK("http://www.twitter.com/NathanBLawrence/status/937722011698237440", "937722011698237440")</f>
        <v/>
      </c>
      <c r="B2022" s="2" t="n">
        <v>43073.69125</v>
      </c>
      <c r="C2022" t="n">
        <v>0</v>
      </c>
      <c r="D2022" t="n">
        <v>0</v>
      </c>
      <c r="E2022" t="s">
        <v>2032</v>
      </c>
      <c r="F2022" t="s"/>
      <c r="G2022" t="s"/>
      <c r="H2022" t="s"/>
      <c r="I2022" t="s"/>
      <c r="J2022" t="n">
        <v>0</v>
      </c>
      <c r="K2022" t="n">
        <v>0</v>
      </c>
      <c r="L2022" t="n">
        <v>1</v>
      </c>
      <c r="M2022" t="n">
        <v>0</v>
      </c>
    </row>
    <row r="2023" spans="1:13">
      <c r="A2023" s="1">
        <f>HYPERLINK("http://www.twitter.com/NathanBLawrence/status/937683596248338432", "937683596248338432")</f>
        <v/>
      </c>
      <c r="B2023" s="2" t="n">
        <v>43073.58524305555</v>
      </c>
      <c r="C2023" t="n">
        <v>0</v>
      </c>
      <c r="D2023" t="n">
        <v>0</v>
      </c>
      <c r="E2023" t="s">
        <v>2033</v>
      </c>
      <c r="F2023" t="s"/>
      <c r="G2023" t="s"/>
      <c r="H2023" t="s"/>
      <c r="I2023" t="s"/>
      <c r="J2023" t="n">
        <v>0</v>
      </c>
      <c r="K2023" t="n">
        <v>0</v>
      </c>
      <c r="L2023" t="n">
        <v>1</v>
      </c>
      <c r="M2023" t="n">
        <v>0</v>
      </c>
    </row>
    <row r="2024" spans="1:13">
      <c r="A2024" s="1">
        <f>HYPERLINK("http://www.twitter.com/NathanBLawrence/status/937683282048831488", "937683282048831488")</f>
        <v/>
      </c>
      <c r="B2024" s="2" t="n">
        <v>43073.584375</v>
      </c>
      <c r="C2024" t="n">
        <v>1</v>
      </c>
      <c r="D2024" t="n">
        <v>0</v>
      </c>
      <c r="E2024" t="s">
        <v>2034</v>
      </c>
      <c r="F2024" t="s"/>
      <c r="G2024" t="s"/>
      <c r="H2024" t="s"/>
      <c r="I2024" t="s"/>
      <c r="J2024" t="n">
        <v>0</v>
      </c>
      <c r="K2024" t="n">
        <v>0</v>
      </c>
      <c r="L2024" t="n">
        <v>1</v>
      </c>
      <c r="M2024" t="n">
        <v>0</v>
      </c>
    </row>
    <row r="2025" spans="1:13">
      <c r="A2025" s="1">
        <f>HYPERLINK("http://www.twitter.com/NathanBLawrence/status/937514325329219584", "937514325329219584")</f>
        <v/>
      </c>
      <c r="B2025" s="2" t="n">
        <v>43073.11813657408</v>
      </c>
      <c r="C2025" t="n">
        <v>2</v>
      </c>
      <c r="D2025" t="n">
        <v>0</v>
      </c>
      <c r="E2025" t="s">
        <v>2035</v>
      </c>
      <c r="F2025" t="s"/>
      <c r="G2025" t="s"/>
      <c r="H2025" t="s"/>
      <c r="I2025" t="s"/>
      <c r="J2025" t="n">
        <v>-0.5994</v>
      </c>
      <c r="K2025" t="n">
        <v>0.5649999999999999</v>
      </c>
      <c r="L2025" t="n">
        <v>0.435</v>
      </c>
      <c r="M2025" t="n">
        <v>0</v>
      </c>
    </row>
    <row r="2026" spans="1:13">
      <c r="A2026" s="1">
        <f>HYPERLINK("http://www.twitter.com/NathanBLawrence/status/937509990339874816", "937509990339874816")</f>
        <v/>
      </c>
      <c r="B2026" s="2" t="n">
        <v>43073.10618055556</v>
      </c>
      <c r="C2026" t="n">
        <v>0</v>
      </c>
      <c r="D2026" t="n">
        <v>9834</v>
      </c>
      <c r="E2026" t="s">
        <v>2036</v>
      </c>
      <c r="F2026" t="s"/>
      <c r="G2026" t="s"/>
      <c r="H2026" t="s"/>
      <c r="I2026" t="s"/>
      <c r="J2026" t="n">
        <v>0.5696</v>
      </c>
      <c r="K2026" t="n">
        <v>0</v>
      </c>
      <c r="L2026" t="n">
        <v>0.71</v>
      </c>
      <c r="M2026" t="n">
        <v>0.29</v>
      </c>
    </row>
    <row r="2027" spans="1:13">
      <c r="A2027" s="1">
        <f>HYPERLINK("http://www.twitter.com/NathanBLawrence/status/937505739475771392", "937505739475771392")</f>
        <v/>
      </c>
      <c r="B2027" s="2" t="n">
        <v>43073.09444444445</v>
      </c>
      <c r="C2027" t="n">
        <v>0</v>
      </c>
      <c r="D2027" t="n">
        <v>0</v>
      </c>
      <c r="E2027" t="s">
        <v>2037</v>
      </c>
      <c r="F2027" t="s"/>
      <c r="G2027" t="s"/>
      <c r="H2027" t="s"/>
      <c r="I2027" t="s"/>
      <c r="J2027" t="n">
        <v>-0.5994</v>
      </c>
      <c r="K2027" t="n">
        <v>0.262</v>
      </c>
      <c r="L2027" t="n">
        <v>0.738</v>
      </c>
      <c r="M2027" t="n">
        <v>0</v>
      </c>
    </row>
    <row r="2028" spans="1:13">
      <c r="A2028" s="1">
        <f>HYPERLINK("http://www.twitter.com/NathanBLawrence/status/937499475198775296", "937499475198775296")</f>
        <v/>
      </c>
      <c r="B2028" s="2" t="n">
        <v>43073.07716435185</v>
      </c>
      <c r="C2028" t="n">
        <v>0</v>
      </c>
      <c r="D2028" t="n">
        <v>0</v>
      </c>
      <c r="E2028" t="s">
        <v>2038</v>
      </c>
      <c r="F2028" t="s"/>
      <c r="G2028" t="s"/>
      <c r="H2028" t="s"/>
      <c r="I2028" t="s"/>
      <c r="J2028" t="n">
        <v>0</v>
      </c>
      <c r="K2028" t="n">
        <v>0</v>
      </c>
      <c r="L2028" t="n">
        <v>1</v>
      </c>
      <c r="M2028" t="n">
        <v>0</v>
      </c>
    </row>
    <row r="2029" spans="1:13">
      <c r="A2029" s="1">
        <f>HYPERLINK("http://www.twitter.com/NathanBLawrence/status/937451309468405761", "937451309468405761")</f>
        <v/>
      </c>
      <c r="B2029" s="2" t="n">
        <v>43072.94424768518</v>
      </c>
      <c r="C2029" t="n">
        <v>0</v>
      </c>
      <c r="D2029" t="n">
        <v>0</v>
      </c>
      <c r="E2029" t="s">
        <v>2039</v>
      </c>
      <c r="F2029" t="s"/>
      <c r="G2029" t="s"/>
      <c r="H2029" t="s"/>
      <c r="I2029" t="s"/>
      <c r="J2029" t="n">
        <v>0.5859</v>
      </c>
      <c r="K2029" t="n">
        <v>0</v>
      </c>
      <c r="L2029" t="n">
        <v>0.787</v>
      </c>
      <c r="M2029" t="n">
        <v>0.213</v>
      </c>
    </row>
    <row r="2030" spans="1:13">
      <c r="A2030" s="1">
        <f>HYPERLINK("http://www.twitter.com/NathanBLawrence/status/937408061064531968", "937408061064531968")</f>
        <v/>
      </c>
      <c r="B2030" s="2" t="n">
        <v>43072.8249074074</v>
      </c>
      <c r="C2030" t="n">
        <v>0</v>
      </c>
      <c r="D2030" t="n">
        <v>0</v>
      </c>
      <c r="E2030" t="s">
        <v>2040</v>
      </c>
      <c r="F2030" t="s"/>
      <c r="G2030" t="s"/>
      <c r="H2030" t="s"/>
      <c r="I2030" t="s"/>
      <c r="J2030" t="n">
        <v>-0.273</v>
      </c>
      <c r="K2030" t="n">
        <v>0.299</v>
      </c>
      <c r="L2030" t="n">
        <v>0.477</v>
      </c>
      <c r="M2030" t="n">
        <v>0.224</v>
      </c>
    </row>
    <row r="2031" spans="1:13">
      <c r="A2031" s="1">
        <f>HYPERLINK("http://www.twitter.com/NathanBLawrence/status/937407226695831552", "937407226695831552")</f>
        <v/>
      </c>
      <c r="B2031" s="2" t="n">
        <v>43072.82260416666</v>
      </c>
      <c r="C2031" t="n">
        <v>2</v>
      </c>
      <c r="D2031" t="n">
        <v>0</v>
      </c>
      <c r="E2031" t="s">
        <v>2041</v>
      </c>
      <c r="F2031" t="s"/>
      <c r="G2031" t="s"/>
      <c r="H2031" t="s"/>
      <c r="I2031" t="s"/>
      <c r="J2031" t="n">
        <v>0</v>
      </c>
      <c r="K2031" t="n">
        <v>0</v>
      </c>
      <c r="L2031" t="n">
        <v>1</v>
      </c>
      <c r="M2031" t="n">
        <v>0</v>
      </c>
    </row>
    <row r="2032" spans="1:13">
      <c r="A2032" s="1">
        <f>HYPERLINK("http://www.twitter.com/NathanBLawrence/status/937395054372638720", "937395054372638720")</f>
        <v/>
      </c>
      <c r="B2032" s="2" t="n">
        <v>43072.7890162037</v>
      </c>
      <c r="C2032" t="n">
        <v>0</v>
      </c>
      <c r="D2032" t="n">
        <v>10484</v>
      </c>
      <c r="E2032" t="s">
        <v>2042</v>
      </c>
      <c r="F2032" t="s"/>
      <c r="G2032" t="s"/>
      <c r="H2032" t="s"/>
      <c r="I2032" t="s"/>
      <c r="J2032" t="n">
        <v>0.743</v>
      </c>
      <c r="K2032" t="n">
        <v>0</v>
      </c>
      <c r="L2032" t="n">
        <v>0.711</v>
      </c>
      <c r="M2032" t="n">
        <v>0.289</v>
      </c>
    </row>
    <row r="2033" spans="1:13">
      <c r="A2033" s="1">
        <f>HYPERLINK("http://www.twitter.com/NathanBLawrence/status/937390306303102976", "937390306303102976")</f>
        <v/>
      </c>
      <c r="B2033" s="2" t="n">
        <v>43072.77591435185</v>
      </c>
      <c r="C2033" t="n">
        <v>1</v>
      </c>
      <c r="D2033" t="n">
        <v>0</v>
      </c>
      <c r="E2033" t="s">
        <v>2043</v>
      </c>
      <c r="F2033" t="s"/>
      <c r="G2033" t="s"/>
      <c r="H2033" t="s"/>
      <c r="I2033" t="s"/>
      <c r="J2033" t="n">
        <v>-0.8270999999999999</v>
      </c>
      <c r="K2033" t="n">
        <v>0.258</v>
      </c>
      <c r="L2033" t="n">
        <v>0.742</v>
      </c>
      <c r="M2033" t="n">
        <v>0</v>
      </c>
    </row>
    <row r="2034" spans="1:13">
      <c r="A2034" s="1">
        <f>HYPERLINK("http://www.twitter.com/NathanBLawrence/status/937386934170738689", "937386934170738689")</f>
        <v/>
      </c>
      <c r="B2034" s="2" t="n">
        <v>43072.76660879629</v>
      </c>
      <c r="C2034" t="n">
        <v>0</v>
      </c>
      <c r="D2034" t="n">
        <v>0</v>
      </c>
      <c r="E2034" t="s">
        <v>2044</v>
      </c>
      <c r="F2034" t="s"/>
      <c r="G2034" t="s"/>
      <c r="H2034" t="s"/>
      <c r="I2034" t="s"/>
      <c r="J2034" t="n">
        <v>0</v>
      </c>
      <c r="K2034" t="n">
        <v>0</v>
      </c>
      <c r="L2034" t="n">
        <v>1</v>
      </c>
      <c r="M2034" t="n">
        <v>0</v>
      </c>
    </row>
    <row r="2035" spans="1:13">
      <c r="A2035" s="1">
        <f>HYPERLINK("http://www.twitter.com/NathanBLawrence/status/937383407906164746", "937383407906164746")</f>
        <v/>
      </c>
      <c r="B2035" s="2" t="n">
        <v>43072.756875</v>
      </c>
      <c r="C2035" t="n">
        <v>0</v>
      </c>
      <c r="D2035" t="n">
        <v>0</v>
      </c>
      <c r="E2035" t="s">
        <v>2045</v>
      </c>
      <c r="F2035" t="s"/>
      <c r="G2035" t="s"/>
      <c r="H2035" t="s"/>
      <c r="I2035" t="s"/>
      <c r="J2035" t="n">
        <v>-0.625</v>
      </c>
      <c r="K2035" t="n">
        <v>0.194</v>
      </c>
      <c r="L2035" t="n">
        <v>0.806</v>
      </c>
      <c r="M2035" t="n">
        <v>0</v>
      </c>
    </row>
    <row r="2036" spans="1:13">
      <c r="A2036" s="1">
        <f>HYPERLINK("http://www.twitter.com/NathanBLawrence/status/937369300322652160", "937369300322652160")</f>
        <v/>
      </c>
      <c r="B2036" s="2" t="n">
        <v>43072.71795138889</v>
      </c>
      <c r="C2036" t="n">
        <v>0</v>
      </c>
      <c r="D2036" t="n">
        <v>0</v>
      </c>
      <c r="E2036" t="s">
        <v>2046</v>
      </c>
      <c r="F2036" t="s"/>
      <c r="G2036" t="s"/>
      <c r="H2036" t="s"/>
      <c r="I2036" t="s"/>
      <c r="J2036" t="n">
        <v>-0.3182</v>
      </c>
      <c r="K2036" t="n">
        <v>0.123</v>
      </c>
      <c r="L2036" t="n">
        <v>0.8169999999999999</v>
      </c>
      <c r="M2036" t="n">
        <v>0.06</v>
      </c>
    </row>
    <row r="2037" spans="1:13">
      <c r="A2037" s="1">
        <f>HYPERLINK("http://www.twitter.com/NathanBLawrence/status/937366236970840064", "937366236970840064")</f>
        <v/>
      </c>
      <c r="B2037" s="2" t="n">
        <v>43072.70949074074</v>
      </c>
      <c r="C2037" t="n">
        <v>0</v>
      </c>
      <c r="D2037" t="n">
        <v>0</v>
      </c>
      <c r="E2037" t="s">
        <v>2047</v>
      </c>
      <c r="F2037" t="s"/>
      <c r="G2037" t="s"/>
      <c r="H2037" t="s"/>
      <c r="I2037" t="s"/>
      <c r="J2037" t="n">
        <v>0.7762</v>
      </c>
      <c r="K2037" t="n">
        <v>0.062</v>
      </c>
      <c r="L2037" t="n">
        <v>0.707</v>
      </c>
      <c r="M2037" t="n">
        <v>0.232</v>
      </c>
    </row>
    <row r="2038" spans="1:13">
      <c r="A2038" s="1">
        <f>HYPERLINK("http://www.twitter.com/NathanBLawrence/status/937363605112213505", "937363605112213505")</f>
        <v/>
      </c>
      <c r="B2038" s="2" t="n">
        <v>43072.7022337963</v>
      </c>
      <c r="C2038" t="n">
        <v>0</v>
      </c>
      <c r="D2038" t="n">
        <v>0</v>
      </c>
      <c r="E2038" t="s">
        <v>2048</v>
      </c>
      <c r="F2038" t="s"/>
      <c r="G2038" t="s"/>
      <c r="H2038" t="s"/>
      <c r="I2038" t="s"/>
      <c r="J2038" t="n">
        <v>-0.6125</v>
      </c>
      <c r="K2038" t="n">
        <v>0.167</v>
      </c>
      <c r="L2038" t="n">
        <v>0.722</v>
      </c>
      <c r="M2038" t="n">
        <v>0.111</v>
      </c>
    </row>
    <row r="2039" spans="1:13">
      <c r="A2039" s="1">
        <f>HYPERLINK("http://www.twitter.com/NathanBLawrence/status/937362769220907008", "937362769220907008")</f>
        <v/>
      </c>
      <c r="B2039" s="2" t="n">
        <v>43072.69993055556</v>
      </c>
      <c r="C2039" t="n">
        <v>44</v>
      </c>
      <c r="D2039" t="n">
        <v>20</v>
      </c>
      <c r="E2039" t="s">
        <v>2049</v>
      </c>
      <c r="F2039" t="s"/>
      <c r="G2039" t="s"/>
      <c r="H2039" t="s"/>
      <c r="I2039" t="s"/>
      <c r="J2039" t="n">
        <v>0.2401</v>
      </c>
      <c r="K2039" t="n">
        <v>0</v>
      </c>
      <c r="L2039" t="n">
        <v>0.9350000000000001</v>
      </c>
      <c r="M2039" t="n">
        <v>0.065</v>
      </c>
    </row>
    <row r="2040" spans="1:13">
      <c r="A2040" s="1">
        <f>HYPERLINK("http://www.twitter.com/NathanBLawrence/status/937352992285655040", "937352992285655040")</f>
        <v/>
      </c>
      <c r="B2040" s="2" t="n">
        <v>43072.67295138889</v>
      </c>
      <c r="C2040" t="n">
        <v>0</v>
      </c>
      <c r="D2040" t="n">
        <v>0</v>
      </c>
      <c r="E2040" t="s">
        <v>2050</v>
      </c>
      <c r="F2040" t="s"/>
      <c r="G2040" t="s"/>
      <c r="H2040" t="s"/>
      <c r="I2040" t="s"/>
      <c r="J2040" t="n">
        <v>0</v>
      </c>
      <c r="K2040" t="n">
        <v>0</v>
      </c>
      <c r="L2040" t="n">
        <v>1</v>
      </c>
      <c r="M2040" t="n">
        <v>0</v>
      </c>
    </row>
    <row r="2041" spans="1:13">
      <c r="A2041" s="1">
        <f>HYPERLINK("http://www.twitter.com/NathanBLawrence/status/937350116167569408", "937350116167569408")</f>
        <v/>
      </c>
      <c r="B2041" s="2" t="n">
        <v>43072.66501157408</v>
      </c>
      <c r="C2041" t="n">
        <v>0</v>
      </c>
      <c r="D2041" t="n">
        <v>0</v>
      </c>
      <c r="E2041" t="s">
        <v>2051</v>
      </c>
      <c r="F2041" t="s"/>
      <c r="G2041" t="s"/>
      <c r="H2041" t="s"/>
      <c r="I2041" t="s"/>
      <c r="J2041" t="n">
        <v>0.484</v>
      </c>
      <c r="K2041" t="n">
        <v>0.1</v>
      </c>
      <c r="L2041" t="n">
        <v>0.662</v>
      </c>
      <c r="M2041" t="n">
        <v>0.238</v>
      </c>
    </row>
    <row r="2042" spans="1:13">
      <c r="A2042" s="1">
        <f>HYPERLINK("http://www.twitter.com/NathanBLawrence/status/937344925863219201", "937344925863219201")</f>
        <v/>
      </c>
      <c r="B2042" s="2" t="n">
        <v>43072.65069444444</v>
      </c>
      <c r="C2042" t="n">
        <v>0</v>
      </c>
      <c r="D2042" t="n">
        <v>606</v>
      </c>
      <c r="E2042" t="s">
        <v>2052</v>
      </c>
      <c r="F2042">
        <f>HYPERLINK("http://pbs.twimg.com/media/DMcvNn6UIAAKFqs.jpg", "http://pbs.twimg.com/media/DMcvNn6UIAAKFqs.jpg")</f>
        <v/>
      </c>
      <c r="G2042" t="s"/>
      <c r="H2042" t="s"/>
      <c r="I2042" t="s"/>
      <c r="J2042" t="n">
        <v>-0.1531</v>
      </c>
      <c r="K2042" t="n">
        <v>0.091</v>
      </c>
      <c r="L2042" t="n">
        <v>0.909</v>
      </c>
      <c r="M2042" t="n">
        <v>0</v>
      </c>
    </row>
    <row r="2043" spans="1:13">
      <c r="A2043" s="1">
        <f>HYPERLINK("http://www.twitter.com/NathanBLawrence/status/937341475460911104", "937341475460911104")</f>
        <v/>
      </c>
      <c r="B2043" s="2" t="n">
        <v>43072.64116898148</v>
      </c>
      <c r="C2043" t="n">
        <v>0</v>
      </c>
      <c r="D2043" t="n">
        <v>553</v>
      </c>
      <c r="E2043" t="s">
        <v>2053</v>
      </c>
      <c r="F2043" t="s"/>
      <c r="G2043" t="s"/>
      <c r="H2043" t="s"/>
      <c r="I2043" t="s"/>
      <c r="J2043" t="n">
        <v>0.6486</v>
      </c>
      <c r="K2043" t="n">
        <v>0.091</v>
      </c>
      <c r="L2043" t="n">
        <v>0.68</v>
      </c>
      <c r="M2043" t="n">
        <v>0.23</v>
      </c>
    </row>
    <row r="2044" spans="1:13">
      <c r="A2044" s="1">
        <f>HYPERLINK("http://www.twitter.com/NathanBLawrence/status/937340898152714240", "937340898152714240")</f>
        <v/>
      </c>
      <c r="B2044" s="2" t="n">
        <v>43072.63957175926</v>
      </c>
      <c r="C2044" t="n">
        <v>0</v>
      </c>
      <c r="D2044" t="n">
        <v>0</v>
      </c>
      <c r="E2044" t="s">
        <v>2054</v>
      </c>
      <c r="F2044" t="s"/>
      <c r="G2044" t="s"/>
      <c r="H2044" t="s"/>
      <c r="I2044" t="s"/>
      <c r="J2044" t="n">
        <v>-0.1027</v>
      </c>
      <c r="K2044" t="n">
        <v>0.128</v>
      </c>
      <c r="L2044" t="n">
        <v>0.789</v>
      </c>
      <c r="M2044" t="n">
        <v>0.082</v>
      </c>
    </row>
    <row r="2045" spans="1:13">
      <c r="A2045" s="1">
        <f>HYPERLINK("http://www.twitter.com/NathanBLawrence/status/937162865760440321", "937162865760440321")</f>
        <v/>
      </c>
      <c r="B2045" s="2" t="n">
        <v>43072.14829861111</v>
      </c>
      <c r="C2045" t="n">
        <v>0</v>
      </c>
      <c r="D2045" t="n">
        <v>0</v>
      </c>
      <c r="E2045" t="s">
        <v>2055</v>
      </c>
      <c r="F2045">
        <f>HYPERLINK("http://pbs.twimg.com/media/DQF4YjuVwAASQyw.jpg", "http://pbs.twimg.com/media/DQF4YjuVwAASQyw.jpg")</f>
        <v/>
      </c>
      <c r="G2045" t="s"/>
      <c r="H2045" t="s"/>
      <c r="I2045" t="s"/>
      <c r="J2045" t="n">
        <v>0</v>
      </c>
      <c r="K2045" t="n">
        <v>0</v>
      </c>
      <c r="L2045" t="n">
        <v>1</v>
      </c>
      <c r="M2045" t="n">
        <v>0</v>
      </c>
    </row>
    <row r="2046" spans="1:13">
      <c r="A2046" s="1">
        <f>HYPERLINK("http://www.twitter.com/NathanBLawrence/status/937116466008285184", "937116466008285184")</f>
        <v/>
      </c>
      <c r="B2046" s="2" t="n">
        <v>43072.02025462963</v>
      </c>
      <c r="C2046" t="n">
        <v>0</v>
      </c>
      <c r="D2046" t="n">
        <v>0</v>
      </c>
      <c r="E2046" t="s">
        <v>2056</v>
      </c>
      <c r="F2046" t="s"/>
      <c r="G2046" t="s"/>
      <c r="H2046" t="s"/>
      <c r="I2046" t="s"/>
      <c r="J2046" t="n">
        <v>0</v>
      </c>
      <c r="K2046" t="n">
        <v>0</v>
      </c>
      <c r="L2046" t="n">
        <v>1</v>
      </c>
      <c r="M2046" t="n">
        <v>0</v>
      </c>
    </row>
    <row r="2047" spans="1:13">
      <c r="A2047" s="1">
        <f>HYPERLINK("http://www.twitter.com/NathanBLawrence/status/937029582481448965", "937029582481448965")</f>
        <v/>
      </c>
      <c r="B2047" s="2" t="n">
        <v>43071.78050925926</v>
      </c>
      <c r="C2047" t="n">
        <v>0</v>
      </c>
      <c r="D2047" t="n">
        <v>0</v>
      </c>
      <c r="E2047" t="s">
        <v>2057</v>
      </c>
      <c r="F2047" t="s"/>
      <c r="G2047" t="s"/>
      <c r="H2047" t="s"/>
      <c r="I2047" t="s"/>
      <c r="J2047" t="n">
        <v>0.6562</v>
      </c>
      <c r="K2047" t="n">
        <v>0</v>
      </c>
      <c r="L2047" t="n">
        <v>0.733</v>
      </c>
      <c r="M2047" t="n">
        <v>0.267</v>
      </c>
    </row>
    <row r="2048" spans="1:13">
      <c r="A2048" s="1">
        <f>HYPERLINK("http://www.twitter.com/NathanBLawrence/status/936955079415955456", "936955079415955456")</f>
        <v/>
      </c>
      <c r="B2048" s="2" t="n">
        <v>43071.57491898148</v>
      </c>
      <c r="C2048" t="n">
        <v>0</v>
      </c>
      <c r="D2048" t="n">
        <v>0</v>
      </c>
      <c r="E2048" t="s">
        <v>2058</v>
      </c>
      <c r="F2048" t="s"/>
      <c r="G2048" t="s"/>
      <c r="H2048" t="s"/>
      <c r="I2048" t="s"/>
      <c r="J2048" t="n">
        <v>0</v>
      </c>
      <c r="K2048" t="n">
        <v>0</v>
      </c>
      <c r="L2048" t="n">
        <v>1</v>
      </c>
      <c r="M2048" t="n">
        <v>0</v>
      </c>
    </row>
    <row r="2049" spans="1:13">
      <c r="A2049" s="1">
        <f>HYPERLINK("http://www.twitter.com/NathanBLawrence/status/936852000645431296", "936852000645431296")</f>
        <v/>
      </c>
      <c r="B2049" s="2" t="n">
        <v>43071.29047453704</v>
      </c>
      <c r="C2049" t="n">
        <v>3</v>
      </c>
      <c r="D2049" t="n">
        <v>2</v>
      </c>
      <c r="E2049" t="s">
        <v>2059</v>
      </c>
      <c r="F2049" t="s"/>
      <c r="G2049" t="s"/>
      <c r="H2049" t="s"/>
      <c r="I2049" t="s"/>
      <c r="J2049" t="n">
        <v>0.3612</v>
      </c>
      <c r="K2049" t="n">
        <v>0</v>
      </c>
      <c r="L2049" t="n">
        <v>0.783</v>
      </c>
      <c r="M2049" t="n">
        <v>0.217</v>
      </c>
    </row>
    <row r="2050" spans="1:13">
      <c r="A2050" s="1">
        <f>HYPERLINK("http://www.twitter.com/NathanBLawrence/status/936851214460846080", "936851214460846080")</f>
        <v/>
      </c>
      <c r="B2050" s="2" t="n">
        <v>43071.28831018518</v>
      </c>
      <c r="C2050" t="n">
        <v>0</v>
      </c>
      <c r="D2050" t="n">
        <v>0</v>
      </c>
      <c r="E2050" t="s">
        <v>2060</v>
      </c>
      <c r="F2050" t="s"/>
      <c r="G2050" t="s"/>
      <c r="H2050" t="s"/>
      <c r="I2050" t="s"/>
      <c r="J2050" t="n">
        <v>0</v>
      </c>
      <c r="K2050" t="n">
        <v>0</v>
      </c>
      <c r="L2050" t="n">
        <v>1</v>
      </c>
      <c r="M2050" t="n">
        <v>0</v>
      </c>
    </row>
    <row r="2051" spans="1:13">
      <c r="A2051" s="1">
        <f>HYPERLINK("http://www.twitter.com/NathanBLawrence/status/936795974977990656", "936795974977990656")</f>
        <v/>
      </c>
      <c r="B2051" s="2" t="n">
        <v>43071.13586805556</v>
      </c>
      <c r="C2051" t="n">
        <v>0</v>
      </c>
      <c r="D2051" t="n">
        <v>0</v>
      </c>
      <c r="E2051" t="s">
        <v>2061</v>
      </c>
      <c r="F2051" t="s"/>
      <c r="G2051" t="s"/>
      <c r="H2051" t="s"/>
      <c r="I2051" t="s"/>
      <c r="J2051" t="n">
        <v>0</v>
      </c>
      <c r="K2051" t="n">
        <v>0</v>
      </c>
      <c r="L2051" t="n">
        <v>1</v>
      </c>
      <c r="M2051" t="n">
        <v>0</v>
      </c>
    </row>
    <row r="2052" spans="1:13">
      <c r="A2052" s="1">
        <f>HYPERLINK("http://www.twitter.com/NathanBLawrence/status/936795149748781057", "936795149748781057")</f>
        <v/>
      </c>
      <c r="B2052" s="2" t="n">
        <v>43071.13359953704</v>
      </c>
      <c r="C2052" t="n">
        <v>2</v>
      </c>
      <c r="D2052" t="n">
        <v>0</v>
      </c>
      <c r="E2052" t="s">
        <v>2062</v>
      </c>
      <c r="F2052" t="s"/>
      <c r="G2052" t="s"/>
      <c r="H2052" t="s"/>
      <c r="I2052" t="s"/>
      <c r="J2052" t="n">
        <v>0.6705</v>
      </c>
      <c r="K2052" t="n">
        <v>0</v>
      </c>
      <c r="L2052" t="n">
        <v>0.718</v>
      </c>
      <c r="M2052" t="n">
        <v>0.282</v>
      </c>
    </row>
    <row r="2053" spans="1:13">
      <c r="A2053" s="1">
        <f>HYPERLINK("http://www.twitter.com/NathanBLawrence/status/936789742867247105", "936789742867247105")</f>
        <v/>
      </c>
      <c r="B2053" s="2" t="n">
        <v>43071.11868055556</v>
      </c>
      <c r="C2053" t="n">
        <v>0</v>
      </c>
      <c r="D2053" t="n">
        <v>0</v>
      </c>
      <c r="E2053" t="s">
        <v>2063</v>
      </c>
      <c r="F2053" t="s"/>
      <c r="G2053" t="s"/>
      <c r="H2053" t="s"/>
      <c r="I2053" t="s"/>
      <c r="J2053" t="n">
        <v>0.2235</v>
      </c>
      <c r="K2053" t="n">
        <v>0</v>
      </c>
      <c r="L2053" t="n">
        <v>0.8090000000000001</v>
      </c>
      <c r="M2053" t="n">
        <v>0.191</v>
      </c>
    </row>
    <row r="2054" spans="1:13">
      <c r="A2054" s="1">
        <f>HYPERLINK("http://www.twitter.com/NathanBLawrence/status/936789368966078464", "936789368966078464")</f>
        <v/>
      </c>
      <c r="B2054" s="2" t="n">
        <v>43071.11763888889</v>
      </c>
      <c r="C2054" t="n">
        <v>0</v>
      </c>
      <c r="D2054" t="n">
        <v>1</v>
      </c>
      <c r="E2054" t="s">
        <v>2064</v>
      </c>
      <c r="F2054" t="s"/>
      <c r="G2054" t="s"/>
      <c r="H2054" t="s"/>
      <c r="I2054" t="s"/>
      <c r="J2054" t="n">
        <v>0.5859</v>
      </c>
      <c r="K2054" t="n">
        <v>0</v>
      </c>
      <c r="L2054" t="n">
        <v>0.714</v>
      </c>
      <c r="M2054" t="n">
        <v>0.286</v>
      </c>
    </row>
    <row r="2055" spans="1:13">
      <c r="A2055" s="1">
        <f>HYPERLINK("http://www.twitter.com/NathanBLawrence/status/936788856052920322", "936788856052920322")</f>
        <v/>
      </c>
      <c r="B2055" s="2" t="n">
        <v>43071.11622685185</v>
      </c>
      <c r="C2055" t="n">
        <v>1</v>
      </c>
      <c r="D2055" t="n">
        <v>0</v>
      </c>
      <c r="E2055" t="s">
        <v>2065</v>
      </c>
      <c r="F2055" t="s"/>
      <c r="G2055" t="s"/>
      <c r="H2055" t="s"/>
      <c r="I2055" t="s"/>
      <c r="J2055" t="n">
        <v>-0.2732</v>
      </c>
      <c r="K2055" t="n">
        <v>0.216</v>
      </c>
      <c r="L2055" t="n">
        <v>0.661</v>
      </c>
      <c r="M2055" t="n">
        <v>0.123</v>
      </c>
    </row>
    <row r="2056" spans="1:13">
      <c r="A2056" s="1">
        <f>HYPERLINK("http://www.twitter.com/NathanBLawrence/status/936786824738902017", "936786824738902017")</f>
        <v/>
      </c>
      <c r="B2056" s="2" t="n">
        <v>43071.110625</v>
      </c>
      <c r="C2056" t="n">
        <v>0</v>
      </c>
      <c r="D2056" t="n">
        <v>0</v>
      </c>
      <c r="E2056" t="s">
        <v>2066</v>
      </c>
      <c r="F2056" t="s"/>
      <c r="G2056" t="s"/>
      <c r="H2056" t="s"/>
      <c r="I2056" t="s"/>
      <c r="J2056" t="n">
        <v>-0.4215</v>
      </c>
      <c r="K2056" t="n">
        <v>0.259</v>
      </c>
      <c r="L2056" t="n">
        <v>0.741</v>
      </c>
      <c r="M2056" t="n">
        <v>0</v>
      </c>
    </row>
    <row r="2057" spans="1:13">
      <c r="A2057" s="1">
        <f>HYPERLINK("http://www.twitter.com/NathanBLawrence/status/936786611257221120", "936786611257221120")</f>
        <v/>
      </c>
      <c r="B2057" s="2" t="n">
        <v>43071.11003472222</v>
      </c>
      <c r="C2057" t="n">
        <v>0</v>
      </c>
      <c r="D2057" t="n">
        <v>0</v>
      </c>
      <c r="E2057" t="s">
        <v>2067</v>
      </c>
      <c r="F2057" t="s"/>
      <c r="G2057" t="s"/>
      <c r="H2057" t="s"/>
      <c r="I2057" t="s"/>
      <c r="J2057" t="n">
        <v>0.0772</v>
      </c>
      <c r="K2057" t="n">
        <v>0</v>
      </c>
      <c r="L2057" t="n">
        <v>0.885</v>
      </c>
      <c r="M2057" t="n">
        <v>0.115</v>
      </c>
    </row>
    <row r="2058" spans="1:13">
      <c r="A2058" s="1">
        <f>HYPERLINK("http://www.twitter.com/NathanBLawrence/status/936786354851086342", "936786354851086342")</f>
        <v/>
      </c>
      <c r="B2058" s="2" t="n">
        <v>43071.1093287037</v>
      </c>
      <c r="C2058" t="n">
        <v>1</v>
      </c>
      <c r="D2058" t="n">
        <v>0</v>
      </c>
      <c r="E2058" t="s">
        <v>2068</v>
      </c>
      <c r="F2058" t="s"/>
      <c r="G2058" t="s"/>
      <c r="H2058" t="s"/>
      <c r="I2058" t="s"/>
      <c r="J2058" t="n">
        <v>-0.4767</v>
      </c>
      <c r="K2058" t="n">
        <v>0.279</v>
      </c>
      <c r="L2058" t="n">
        <v>0.721</v>
      </c>
      <c r="M2058" t="n">
        <v>0</v>
      </c>
    </row>
    <row r="2059" spans="1:13">
      <c r="A2059" s="1">
        <f>HYPERLINK("http://www.twitter.com/NathanBLawrence/status/936785308238036993", "936785308238036993")</f>
        <v/>
      </c>
      <c r="B2059" s="2" t="n">
        <v>43071.10643518518</v>
      </c>
      <c r="C2059" t="n">
        <v>1</v>
      </c>
      <c r="D2059" t="n">
        <v>0</v>
      </c>
      <c r="E2059" t="s">
        <v>2069</v>
      </c>
      <c r="F2059" t="s"/>
      <c r="G2059" t="s"/>
      <c r="H2059" t="s"/>
      <c r="I2059" t="s"/>
      <c r="J2059" t="n">
        <v>0.6486</v>
      </c>
      <c r="K2059" t="n">
        <v>0</v>
      </c>
      <c r="L2059" t="n">
        <v>0.694</v>
      </c>
      <c r="M2059" t="n">
        <v>0.306</v>
      </c>
    </row>
    <row r="2060" spans="1:13">
      <c r="A2060" s="1">
        <f>HYPERLINK("http://www.twitter.com/NathanBLawrence/status/936784639745597440", "936784639745597440")</f>
        <v/>
      </c>
      <c r="B2060" s="2" t="n">
        <v>43071.10459490741</v>
      </c>
      <c r="C2060" t="n">
        <v>0</v>
      </c>
      <c r="D2060" t="n">
        <v>0</v>
      </c>
      <c r="E2060" t="s">
        <v>2070</v>
      </c>
      <c r="F2060" t="s"/>
      <c r="G2060" t="s"/>
      <c r="H2060" t="s"/>
      <c r="I2060" t="s"/>
      <c r="J2060" t="n">
        <v>-0.4404</v>
      </c>
      <c r="K2060" t="n">
        <v>0.326</v>
      </c>
      <c r="L2060" t="n">
        <v>0.674</v>
      </c>
      <c r="M2060" t="n">
        <v>0</v>
      </c>
    </row>
    <row r="2061" spans="1:13">
      <c r="A2061" s="1">
        <f>HYPERLINK("http://www.twitter.com/NathanBLawrence/status/936779216858660864", "936779216858660864")</f>
        <v/>
      </c>
      <c r="B2061" s="2" t="n">
        <v>43071.08962962963</v>
      </c>
      <c r="C2061" t="n">
        <v>1</v>
      </c>
      <c r="D2061" t="n">
        <v>0</v>
      </c>
      <c r="E2061" t="s">
        <v>2071</v>
      </c>
      <c r="F2061" t="s"/>
      <c r="G2061" t="s"/>
      <c r="H2061" t="s"/>
      <c r="I2061" t="s"/>
      <c r="J2061" t="n">
        <v>0</v>
      </c>
      <c r="K2061" t="n">
        <v>0</v>
      </c>
      <c r="L2061" t="n">
        <v>1</v>
      </c>
      <c r="M2061" t="n">
        <v>0</v>
      </c>
    </row>
    <row r="2062" spans="1:13">
      <c r="A2062" s="1">
        <f>HYPERLINK("http://www.twitter.com/NathanBLawrence/status/936763383919136768", "936763383919136768")</f>
        <v/>
      </c>
      <c r="B2062" s="2" t="n">
        <v>43071.0459375</v>
      </c>
      <c r="C2062" t="n">
        <v>0</v>
      </c>
      <c r="D2062" t="n">
        <v>0</v>
      </c>
      <c r="E2062" t="s">
        <v>2072</v>
      </c>
      <c r="F2062" t="s"/>
      <c r="G2062" t="s"/>
      <c r="H2062" t="s"/>
      <c r="I2062" t="s"/>
      <c r="J2062" t="n">
        <v>0</v>
      </c>
      <c r="K2062" t="n">
        <v>0</v>
      </c>
      <c r="L2062" t="n">
        <v>1</v>
      </c>
      <c r="M2062" t="n">
        <v>0</v>
      </c>
    </row>
    <row r="2063" spans="1:13">
      <c r="A2063" s="1">
        <f>HYPERLINK("http://www.twitter.com/NathanBLawrence/status/936759794526052352", "936759794526052352")</f>
        <v/>
      </c>
      <c r="B2063" s="2" t="n">
        <v>43071.03603009259</v>
      </c>
      <c r="C2063" t="n">
        <v>0</v>
      </c>
      <c r="D2063" t="n">
        <v>0</v>
      </c>
      <c r="E2063" t="s">
        <v>2073</v>
      </c>
      <c r="F2063" t="s"/>
      <c r="G2063" t="s"/>
      <c r="H2063" t="s"/>
      <c r="I2063" t="s"/>
      <c r="J2063" t="n">
        <v>0</v>
      </c>
      <c r="K2063" t="n">
        <v>0</v>
      </c>
      <c r="L2063" t="n">
        <v>1</v>
      </c>
      <c r="M2063" t="n">
        <v>0</v>
      </c>
    </row>
    <row r="2064" spans="1:13">
      <c r="A2064" s="1">
        <f>HYPERLINK("http://www.twitter.com/NathanBLawrence/status/936758526160056324", "936758526160056324")</f>
        <v/>
      </c>
      <c r="B2064" s="2" t="n">
        <v>43071.03253472222</v>
      </c>
      <c r="C2064" t="n">
        <v>0</v>
      </c>
      <c r="D2064" t="n">
        <v>0</v>
      </c>
      <c r="E2064" t="s">
        <v>2074</v>
      </c>
      <c r="F2064" t="s"/>
      <c r="G2064" t="s"/>
      <c r="H2064" t="s"/>
      <c r="I2064" t="s"/>
      <c r="J2064" t="n">
        <v>0</v>
      </c>
      <c r="K2064" t="n">
        <v>0</v>
      </c>
      <c r="L2064" t="n">
        <v>1</v>
      </c>
      <c r="M2064" t="n">
        <v>0</v>
      </c>
    </row>
    <row r="2065" spans="1:13">
      <c r="A2065" s="1">
        <f>HYPERLINK("http://www.twitter.com/NathanBLawrence/status/936756911743041539", "936756911743041539")</f>
        <v/>
      </c>
      <c r="B2065" s="2" t="n">
        <v>43071.0280787037</v>
      </c>
      <c r="C2065" t="n">
        <v>0</v>
      </c>
      <c r="D2065" t="n">
        <v>0</v>
      </c>
      <c r="E2065" t="s">
        <v>2075</v>
      </c>
      <c r="F2065" t="s"/>
      <c r="G2065" t="s"/>
      <c r="H2065" t="s"/>
      <c r="I2065" t="s"/>
      <c r="J2065" t="n">
        <v>-0.34</v>
      </c>
      <c r="K2065" t="n">
        <v>0.211</v>
      </c>
      <c r="L2065" t="n">
        <v>0.789</v>
      </c>
      <c r="M2065" t="n">
        <v>0</v>
      </c>
    </row>
    <row r="2066" spans="1:13">
      <c r="A2066" s="1">
        <f>HYPERLINK("http://www.twitter.com/NathanBLawrence/status/936755275587031040", "936755275587031040")</f>
        <v/>
      </c>
      <c r="B2066" s="2" t="n">
        <v>43071.02356481482</v>
      </c>
      <c r="C2066" t="n">
        <v>0</v>
      </c>
      <c r="D2066" t="n">
        <v>0</v>
      </c>
      <c r="E2066" t="s">
        <v>2076</v>
      </c>
      <c r="F2066" t="s"/>
      <c r="G2066" t="s"/>
      <c r="H2066" t="s"/>
      <c r="I2066" t="s"/>
      <c r="J2066" t="n">
        <v>0</v>
      </c>
      <c r="K2066" t="n">
        <v>0</v>
      </c>
      <c r="L2066" t="n">
        <v>1</v>
      </c>
      <c r="M2066" t="n">
        <v>0</v>
      </c>
    </row>
    <row r="2067" spans="1:13">
      <c r="A2067" s="1">
        <f>HYPERLINK("http://www.twitter.com/NathanBLawrence/status/936755054106894336", "936755054106894336")</f>
        <v/>
      </c>
      <c r="B2067" s="2" t="n">
        <v>43071.02295138889</v>
      </c>
      <c r="C2067" t="n">
        <v>0</v>
      </c>
      <c r="D2067" t="n">
        <v>0</v>
      </c>
      <c r="E2067" t="s">
        <v>2077</v>
      </c>
      <c r="F2067" t="s"/>
      <c r="G2067" t="s"/>
      <c r="H2067" t="s"/>
      <c r="I2067" t="s"/>
      <c r="J2067" t="n">
        <v>0</v>
      </c>
      <c r="K2067" t="n">
        <v>0</v>
      </c>
      <c r="L2067" t="n">
        <v>1</v>
      </c>
      <c r="M2067" t="n">
        <v>0</v>
      </c>
    </row>
    <row r="2068" spans="1:13">
      <c r="A2068" s="1">
        <f>HYPERLINK("http://www.twitter.com/NathanBLawrence/status/936752652570054662", "936752652570054662")</f>
        <v/>
      </c>
      <c r="B2068" s="2" t="n">
        <v>43071.01633101852</v>
      </c>
      <c r="C2068" t="n">
        <v>0</v>
      </c>
      <c r="D2068" t="n">
        <v>0</v>
      </c>
      <c r="E2068" t="s">
        <v>2078</v>
      </c>
      <c r="F2068" t="s"/>
      <c r="G2068" t="s"/>
      <c r="H2068" t="s"/>
      <c r="I2068" t="s"/>
      <c r="J2068" t="n">
        <v>-0.4767</v>
      </c>
      <c r="K2068" t="n">
        <v>0.307</v>
      </c>
      <c r="L2068" t="n">
        <v>0.6929999999999999</v>
      </c>
      <c r="M2068" t="n">
        <v>0</v>
      </c>
    </row>
    <row r="2069" spans="1:13">
      <c r="A2069" s="1">
        <f>HYPERLINK("http://www.twitter.com/NathanBLawrence/status/936751626676834304", "936751626676834304")</f>
        <v/>
      </c>
      <c r="B2069" s="2" t="n">
        <v>43071.01349537037</v>
      </c>
      <c r="C2069" t="n">
        <v>0</v>
      </c>
      <c r="D2069" t="n">
        <v>0</v>
      </c>
      <c r="E2069" t="s">
        <v>2079</v>
      </c>
      <c r="F2069" t="s"/>
      <c r="G2069" t="s"/>
      <c r="H2069" t="s"/>
      <c r="I2069" t="s"/>
      <c r="J2069" t="n">
        <v>-0.4767</v>
      </c>
      <c r="K2069" t="n">
        <v>0.279</v>
      </c>
      <c r="L2069" t="n">
        <v>0.721</v>
      </c>
      <c r="M2069" t="n">
        <v>0</v>
      </c>
    </row>
    <row r="2070" spans="1:13">
      <c r="A2070" s="1">
        <f>HYPERLINK("http://www.twitter.com/NathanBLawrence/status/936751324846280704", "936751324846280704")</f>
        <v/>
      </c>
      <c r="B2070" s="2" t="n">
        <v>43071.01266203704</v>
      </c>
      <c r="C2070" t="n">
        <v>0</v>
      </c>
      <c r="D2070" t="n">
        <v>0</v>
      </c>
      <c r="E2070" t="s">
        <v>2080</v>
      </c>
      <c r="F2070" t="s"/>
      <c r="G2070" t="s"/>
      <c r="H2070" t="s"/>
      <c r="I2070" t="s"/>
      <c r="J2070" t="n">
        <v>0</v>
      </c>
      <c r="K2070" t="n">
        <v>0</v>
      </c>
      <c r="L2070" t="n">
        <v>1</v>
      </c>
      <c r="M2070" t="n">
        <v>0</v>
      </c>
    </row>
    <row r="2071" spans="1:13">
      <c r="A2071" s="1">
        <f>HYPERLINK("http://www.twitter.com/NathanBLawrence/status/936751061204955142", "936751061204955142")</f>
        <v/>
      </c>
      <c r="B2071" s="2" t="n">
        <v>43071.01193287037</v>
      </c>
      <c r="C2071" t="n">
        <v>0</v>
      </c>
      <c r="D2071" t="n">
        <v>0</v>
      </c>
      <c r="E2071" t="s">
        <v>2081</v>
      </c>
      <c r="F2071" t="s"/>
      <c r="G2071" t="s"/>
      <c r="H2071" t="s"/>
      <c r="I2071" t="s"/>
      <c r="J2071" t="n">
        <v>0</v>
      </c>
      <c r="K2071" t="n">
        <v>0</v>
      </c>
      <c r="L2071" t="n">
        <v>1</v>
      </c>
      <c r="M2071" t="n">
        <v>0</v>
      </c>
    </row>
    <row r="2072" spans="1:13">
      <c r="A2072" s="1">
        <f>HYPERLINK("http://www.twitter.com/NathanBLawrence/status/936703363953102848", "936703363953102848")</f>
        <v/>
      </c>
      <c r="B2072" s="2" t="n">
        <v>43070.8803125</v>
      </c>
      <c r="C2072" t="n">
        <v>1</v>
      </c>
      <c r="D2072" t="n">
        <v>2</v>
      </c>
      <c r="E2072" t="s">
        <v>2082</v>
      </c>
      <c r="F2072" t="s"/>
      <c r="G2072" t="s"/>
      <c r="H2072" t="s"/>
      <c r="I2072" t="s"/>
      <c r="J2072" t="n">
        <v>0.5266999999999999</v>
      </c>
      <c r="K2072" t="n">
        <v>0</v>
      </c>
      <c r="L2072" t="n">
        <v>0.726</v>
      </c>
      <c r="M2072" t="n">
        <v>0.274</v>
      </c>
    </row>
    <row r="2073" spans="1:13">
      <c r="A2073" s="1">
        <f>HYPERLINK("http://www.twitter.com/NathanBLawrence/status/936699277597925377", "936699277597925377")</f>
        <v/>
      </c>
      <c r="B2073" s="2" t="n">
        <v>43070.86903935186</v>
      </c>
      <c r="C2073" t="n">
        <v>0</v>
      </c>
      <c r="D2073" t="n">
        <v>0</v>
      </c>
      <c r="E2073" t="s">
        <v>2083</v>
      </c>
      <c r="F2073" t="s"/>
      <c r="G2073" t="s"/>
      <c r="H2073" t="s"/>
      <c r="I2073" t="s"/>
      <c r="J2073" t="n">
        <v>0</v>
      </c>
      <c r="K2073" t="n">
        <v>0</v>
      </c>
      <c r="L2073" t="n">
        <v>1</v>
      </c>
      <c r="M2073" t="n">
        <v>0</v>
      </c>
    </row>
    <row r="2074" spans="1:13">
      <c r="A2074" s="1">
        <f>HYPERLINK("http://www.twitter.com/NathanBLawrence/status/936697185172885504", "936697185172885504")</f>
        <v/>
      </c>
      <c r="B2074" s="2" t="n">
        <v>43070.86326388889</v>
      </c>
      <c r="C2074" t="n">
        <v>0</v>
      </c>
      <c r="D2074" t="n">
        <v>0</v>
      </c>
      <c r="E2074" t="s">
        <v>2084</v>
      </c>
      <c r="F2074" t="s"/>
      <c r="G2074" t="s"/>
      <c r="H2074" t="s"/>
      <c r="I2074" t="s"/>
      <c r="J2074" t="n">
        <v>0.296</v>
      </c>
      <c r="K2074" t="n">
        <v>0</v>
      </c>
      <c r="L2074" t="n">
        <v>0.761</v>
      </c>
      <c r="M2074" t="n">
        <v>0.239</v>
      </c>
    </row>
    <row r="2075" spans="1:13">
      <c r="A2075" s="1">
        <f>HYPERLINK("http://www.twitter.com/NathanBLawrence/status/936694809376575488", "936694809376575488")</f>
        <v/>
      </c>
      <c r="B2075" s="2" t="n">
        <v>43070.85671296297</v>
      </c>
      <c r="C2075" t="n">
        <v>1</v>
      </c>
      <c r="D2075" t="n">
        <v>0</v>
      </c>
      <c r="E2075" t="s">
        <v>2085</v>
      </c>
      <c r="F2075" t="s"/>
      <c r="G2075" t="s"/>
      <c r="H2075" t="s"/>
      <c r="I2075" t="s"/>
      <c r="J2075" t="n">
        <v>-0.6249</v>
      </c>
      <c r="K2075" t="n">
        <v>0.227</v>
      </c>
      <c r="L2075" t="n">
        <v>0.773</v>
      </c>
      <c r="M2075" t="n">
        <v>0</v>
      </c>
    </row>
    <row r="2076" spans="1:13">
      <c r="A2076" s="1">
        <f>HYPERLINK("http://www.twitter.com/NathanBLawrence/status/936694370501382145", "936694370501382145")</f>
        <v/>
      </c>
      <c r="B2076" s="2" t="n">
        <v>43070.85549768519</v>
      </c>
      <c r="C2076" t="n">
        <v>0</v>
      </c>
      <c r="D2076" t="n">
        <v>0</v>
      </c>
      <c r="E2076" t="s">
        <v>2086</v>
      </c>
      <c r="F2076" t="s"/>
      <c r="G2076" t="s"/>
      <c r="H2076" t="s"/>
      <c r="I2076" t="s"/>
      <c r="J2076" t="n">
        <v>0</v>
      </c>
      <c r="K2076" t="n">
        <v>0</v>
      </c>
      <c r="L2076" t="n">
        <v>1</v>
      </c>
      <c r="M2076" t="n">
        <v>0</v>
      </c>
    </row>
    <row r="2077" spans="1:13">
      <c r="A2077" s="1">
        <f>HYPERLINK("http://www.twitter.com/NathanBLawrence/status/936690547678433281", "936690547678433281")</f>
        <v/>
      </c>
      <c r="B2077" s="2" t="n">
        <v>43070.8449537037</v>
      </c>
      <c r="C2077" t="n">
        <v>0</v>
      </c>
      <c r="D2077" t="n">
        <v>0</v>
      </c>
      <c r="E2077" t="s">
        <v>2087</v>
      </c>
      <c r="F2077" t="s"/>
      <c r="G2077" t="s"/>
      <c r="H2077" t="s"/>
      <c r="I2077" t="s"/>
      <c r="J2077" t="n">
        <v>-0.0745</v>
      </c>
      <c r="K2077" t="n">
        <v>0.179</v>
      </c>
      <c r="L2077" t="n">
        <v>0.657</v>
      </c>
      <c r="M2077" t="n">
        <v>0.164</v>
      </c>
    </row>
    <row r="2078" spans="1:13">
      <c r="A2078" s="1">
        <f>HYPERLINK("http://www.twitter.com/NathanBLawrence/status/936682292365406208", "936682292365406208")</f>
        <v/>
      </c>
      <c r="B2078" s="2" t="n">
        <v>43070.82216435186</v>
      </c>
      <c r="C2078" t="n">
        <v>0</v>
      </c>
      <c r="D2078" t="n">
        <v>0</v>
      </c>
      <c r="E2078" t="s">
        <v>2088</v>
      </c>
      <c r="F2078" t="s"/>
      <c r="G2078" t="s"/>
      <c r="H2078" t="s"/>
      <c r="I2078" t="s"/>
      <c r="J2078" t="n">
        <v>0</v>
      </c>
      <c r="K2078" t="n">
        <v>0</v>
      </c>
      <c r="L2078" t="n">
        <v>1</v>
      </c>
      <c r="M2078" t="n">
        <v>0</v>
      </c>
    </row>
    <row r="2079" spans="1:13">
      <c r="A2079" s="1">
        <f>HYPERLINK("http://www.twitter.com/NathanBLawrence/status/936680286493999104", "936680286493999104")</f>
        <v/>
      </c>
      <c r="B2079" s="2" t="n">
        <v>43070.81663194444</v>
      </c>
      <c r="C2079" t="n">
        <v>1</v>
      </c>
      <c r="D2079" t="n">
        <v>0</v>
      </c>
      <c r="E2079" t="s">
        <v>2089</v>
      </c>
      <c r="F2079" t="s"/>
      <c r="G2079" t="s"/>
      <c r="H2079" t="s"/>
      <c r="I2079" t="s"/>
      <c r="J2079" t="n">
        <v>0</v>
      </c>
      <c r="K2079" t="n">
        <v>0</v>
      </c>
      <c r="L2079" t="n">
        <v>1</v>
      </c>
      <c r="M2079" t="n">
        <v>0</v>
      </c>
    </row>
    <row r="2080" spans="1:13">
      <c r="A2080" s="1">
        <f>HYPERLINK("http://www.twitter.com/NathanBLawrence/status/936678565269135360", "936678565269135360")</f>
        <v/>
      </c>
      <c r="B2080" s="2" t="n">
        <v>43070.81188657408</v>
      </c>
      <c r="C2080" t="n">
        <v>0</v>
      </c>
      <c r="D2080" t="n">
        <v>0</v>
      </c>
      <c r="E2080" t="s">
        <v>2090</v>
      </c>
      <c r="F2080" t="s"/>
      <c r="G2080" t="s"/>
      <c r="H2080" t="s"/>
      <c r="I2080" t="s"/>
      <c r="J2080" t="n">
        <v>0.128</v>
      </c>
      <c r="K2080" t="n">
        <v>0.148</v>
      </c>
      <c r="L2080" t="n">
        <v>0.671</v>
      </c>
      <c r="M2080" t="n">
        <v>0.181</v>
      </c>
    </row>
    <row r="2081" spans="1:13">
      <c r="A2081" s="1">
        <f>HYPERLINK("http://www.twitter.com/NathanBLawrence/status/936664251707650048", "936664251707650048")</f>
        <v/>
      </c>
      <c r="B2081" s="2" t="n">
        <v>43070.77238425926</v>
      </c>
      <c r="C2081" t="n">
        <v>0</v>
      </c>
      <c r="D2081" t="n">
        <v>1</v>
      </c>
      <c r="E2081" t="s">
        <v>2091</v>
      </c>
      <c r="F2081" t="s"/>
      <c r="G2081" t="s"/>
      <c r="H2081" t="s"/>
      <c r="I2081" t="s"/>
      <c r="J2081" t="n">
        <v>0</v>
      </c>
      <c r="K2081" t="n">
        <v>0</v>
      </c>
      <c r="L2081" t="n">
        <v>1</v>
      </c>
      <c r="M2081" t="n">
        <v>0</v>
      </c>
    </row>
    <row r="2082" spans="1:13">
      <c r="A2082" s="1">
        <f>HYPERLINK("http://www.twitter.com/NathanBLawrence/status/936663634125770752", "936663634125770752")</f>
        <v/>
      </c>
      <c r="B2082" s="2" t="n">
        <v>43070.77068287037</v>
      </c>
      <c r="C2082" t="n">
        <v>1</v>
      </c>
      <c r="D2082" t="n">
        <v>0</v>
      </c>
      <c r="E2082" t="s">
        <v>2092</v>
      </c>
      <c r="F2082" t="s"/>
      <c r="G2082" t="s"/>
      <c r="H2082" t="s"/>
      <c r="I2082" t="s"/>
      <c r="J2082" t="n">
        <v>0</v>
      </c>
      <c r="K2082" t="n">
        <v>0</v>
      </c>
      <c r="L2082" t="n">
        <v>1</v>
      </c>
      <c r="M2082" t="n">
        <v>0</v>
      </c>
    </row>
    <row r="2083" spans="1:13">
      <c r="A2083" s="1">
        <f>HYPERLINK("http://www.twitter.com/NathanBLawrence/status/936645581887467521", "936645581887467521")</f>
        <v/>
      </c>
      <c r="B2083" s="2" t="n">
        <v>43070.72086805556</v>
      </c>
      <c r="C2083" t="n">
        <v>0</v>
      </c>
      <c r="D2083" t="n">
        <v>1</v>
      </c>
      <c r="E2083" t="s">
        <v>2093</v>
      </c>
      <c r="F2083" t="s"/>
      <c r="G2083" t="s"/>
      <c r="H2083" t="s"/>
      <c r="I2083" t="s"/>
      <c r="J2083" t="n">
        <v>0.7094</v>
      </c>
      <c r="K2083" t="n">
        <v>0</v>
      </c>
      <c r="L2083" t="n">
        <v>0.731</v>
      </c>
      <c r="M2083" t="n">
        <v>0.269</v>
      </c>
    </row>
    <row r="2084" spans="1:13">
      <c r="A2084" s="1">
        <f>HYPERLINK("http://www.twitter.com/NathanBLawrence/status/936640572651200512", "936640572651200512")</f>
        <v/>
      </c>
      <c r="B2084" s="2" t="n">
        <v>43070.70704861111</v>
      </c>
      <c r="C2084" t="n">
        <v>0</v>
      </c>
      <c r="D2084" t="n">
        <v>400</v>
      </c>
      <c r="E2084" t="s">
        <v>2094</v>
      </c>
      <c r="F2084" t="s"/>
      <c r="G2084" t="s"/>
      <c r="H2084" t="s"/>
      <c r="I2084" t="s"/>
      <c r="J2084" t="n">
        <v>-0.2263</v>
      </c>
      <c r="K2084" t="n">
        <v>0.14</v>
      </c>
      <c r="L2084" t="n">
        <v>0.755</v>
      </c>
      <c r="M2084" t="n">
        <v>0.106</v>
      </c>
    </row>
    <row r="2085" spans="1:13">
      <c r="A2085" s="1">
        <f>HYPERLINK("http://www.twitter.com/NathanBLawrence/status/936639115122094083", "936639115122094083")</f>
        <v/>
      </c>
      <c r="B2085" s="2" t="n">
        <v>43070.70302083333</v>
      </c>
      <c r="C2085" t="n">
        <v>0</v>
      </c>
      <c r="D2085" t="n">
        <v>0</v>
      </c>
      <c r="E2085" t="s">
        <v>2095</v>
      </c>
      <c r="F2085" t="s"/>
      <c r="G2085" t="s"/>
      <c r="H2085" t="s"/>
      <c r="I2085" t="s"/>
      <c r="J2085" t="n">
        <v>0.4404</v>
      </c>
      <c r="K2085" t="n">
        <v>0</v>
      </c>
      <c r="L2085" t="n">
        <v>0.892</v>
      </c>
      <c r="M2085" t="n">
        <v>0.108</v>
      </c>
    </row>
    <row r="2086" spans="1:13">
      <c r="A2086" s="1">
        <f>HYPERLINK("http://www.twitter.com/NathanBLawrence/status/936633882719465472", "936633882719465472")</f>
        <v/>
      </c>
      <c r="B2086" s="2" t="n">
        <v>43070.68858796296</v>
      </c>
      <c r="C2086" t="n">
        <v>0</v>
      </c>
      <c r="D2086" t="n">
        <v>23</v>
      </c>
      <c r="E2086" t="s">
        <v>2096</v>
      </c>
      <c r="F2086" t="s"/>
      <c r="G2086" t="s"/>
      <c r="H2086" t="s"/>
      <c r="I2086" t="s"/>
      <c r="J2086" t="n">
        <v>-0.9393</v>
      </c>
      <c r="K2086" t="n">
        <v>0.435</v>
      </c>
      <c r="L2086" t="n">
        <v>0.5649999999999999</v>
      </c>
      <c r="M2086" t="n">
        <v>0</v>
      </c>
    </row>
    <row r="2087" spans="1:13">
      <c r="A2087" s="1">
        <f>HYPERLINK("http://www.twitter.com/NathanBLawrence/status/936633368455892992", "936633368455892992")</f>
        <v/>
      </c>
      <c r="B2087" s="2" t="n">
        <v>43070.68716435185</v>
      </c>
      <c r="C2087" t="n">
        <v>1</v>
      </c>
      <c r="D2087" t="n">
        <v>0</v>
      </c>
      <c r="E2087" t="s">
        <v>2097</v>
      </c>
      <c r="F2087" t="s"/>
      <c r="G2087" t="s"/>
      <c r="H2087" t="s"/>
      <c r="I2087" t="s"/>
      <c r="J2087" t="n">
        <v>-0.6908</v>
      </c>
      <c r="K2087" t="n">
        <v>0.192</v>
      </c>
      <c r="L2087" t="n">
        <v>0.8080000000000001</v>
      </c>
      <c r="M2087" t="n">
        <v>0</v>
      </c>
    </row>
    <row r="2088" spans="1:13">
      <c r="A2088" s="1">
        <f>HYPERLINK("http://www.twitter.com/NathanBLawrence/status/936629964962754560", "936629964962754560")</f>
        <v/>
      </c>
      <c r="B2088" s="2" t="n">
        <v>43070.67777777778</v>
      </c>
      <c r="C2088" t="n">
        <v>0</v>
      </c>
      <c r="D2088" t="n">
        <v>0</v>
      </c>
      <c r="E2088" t="s">
        <v>2098</v>
      </c>
      <c r="F2088" t="s"/>
      <c r="G2088" t="s"/>
      <c r="H2088" t="s"/>
      <c r="I2088" t="s"/>
      <c r="J2088" t="n">
        <v>0</v>
      </c>
      <c r="K2088" t="n">
        <v>0</v>
      </c>
      <c r="L2088" t="n">
        <v>1</v>
      </c>
      <c r="M2088" t="n">
        <v>0</v>
      </c>
    </row>
    <row r="2089" spans="1:13">
      <c r="A2089" s="1">
        <f>HYPERLINK("http://www.twitter.com/NathanBLawrence/status/936628480338522112", "936628480338522112")</f>
        <v/>
      </c>
      <c r="B2089" s="2" t="n">
        <v>43070.67368055556</v>
      </c>
      <c r="C2089" t="n">
        <v>1</v>
      </c>
      <c r="D2089" t="n">
        <v>0</v>
      </c>
      <c r="E2089" t="s">
        <v>2099</v>
      </c>
      <c r="F2089" t="s"/>
      <c r="G2089" t="s"/>
      <c r="H2089" t="s"/>
      <c r="I2089" t="s"/>
      <c r="J2089" t="n">
        <v>0.4404</v>
      </c>
      <c r="K2089" t="n">
        <v>0</v>
      </c>
      <c r="L2089" t="n">
        <v>0.868</v>
      </c>
      <c r="M2089" t="n">
        <v>0.132</v>
      </c>
    </row>
    <row r="2090" spans="1:13">
      <c r="A2090" s="1">
        <f>HYPERLINK("http://www.twitter.com/NathanBLawrence/status/936618404492009472", "936618404492009472")</f>
        <v/>
      </c>
      <c r="B2090" s="2" t="n">
        <v>43070.64586805556</v>
      </c>
      <c r="C2090" t="n">
        <v>0</v>
      </c>
      <c r="D2090" t="n">
        <v>0</v>
      </c>
      <c r="E2090" t="s">
        <v>2100</v>
      </c>
      <c r="F2090" t="s"/>
      <c r="G2090" t="s"/>
      <c r="H2090" t="s"/>
      <c r="I2090" t="s"/>
      <c r="J2090" t="n">
        <v>0.3182</v>
      </c>
      <c r="K2090" t="n">
        <v>0</v>
      </c>
      <c r="L2090" t="n">
        <v>0.874</v>
      </c>
      <c r="M2090" t="n">
        <v>0.126</v>
      </c>
    </row>
    <row r="2091" spans="1:13">
      <c r="A2091" s="1">
        <f>HYPERLINK("http://www.twitter.com/NathanBLawrence/status/936616889173889024", "936616889173889024")</f>
        <v/>
      </c>
      <c r="B2091" s="2" t="n">
        <v>43070.64168981482</v>
      </c>
      <c r="C2091" t="n">
        <v>0</v>
      </c>
      <c r="D2091" t="n">
        <v>0</v>
      </c>
      <c r="E2091" t="s">
        <v>2101</v>
      </c>
      <c r="F2091" t="s"/>
      <c r="G2091" t="s"/>
      <c r="H2091" t="s"/>
      <c r="I2091" t="s"/>
      <c r="J2091" t="n">
        <v>0.6671</v>
      </c>
      <c r="K2091" t="n">
        <v>0</v>
      </c>
      <c r="L2091" t="n">
        <v>0.744</v>
      </c>
      <c r="M2091" t="n">
        <v>0.256</v>
      </c>
    </row>
    <row r="2092" spans="1:13">
      <c r="A2092" s="1">
        <f>HYPERLINK("http://www.twitter.com/NathanBLawrence/status/936616490454970368", "936616490454970368")</f>
        <v/>
      </c>
      <c r="B2092" s="2" t="n">
        <v>43070.64059027778</v>
      </c>
      <c r="C2092" t="n">
        <v>0</v>
      </c>
      <c r="D2092" t="n">
        <v>0</v>
      </c>
      <c r="E2092" t="s">
        <v>2102</v>
      </c>
      <c r="F2092" t="s"/>
      <c r="G2092" t="s"/>
      <c r="H2092" t="s"/>
      <c r="I2092" t="s"/>
      <c r="J2092" t="n">
        <v>-0.34</v>
      </c>
      <c r="K2092" t="n">
        <v>0.194</v>
      </c>
      <c r="L2092" t="n">
        <v>0.806</v>
      </c>
      <c r="M2092" t="n">
        <v>0</v>
      </c>
    </row>
    <row r="2093" spans="1:13">
      <c r="A2093" s="1">
        <f>HYPERLINK("http://www.twitter.com/NathanBLawrence/status/936609433236525056", "936609433236525056")</f>
        <v/>
      </c>
      <c r="B2093" s="2" t="n">
        <v>43070.62111111111</v>
      </c>
      <c r="C2093" t="n">
        <v>0</v>
      </c>
      <c r="D2093" t="n">
        <v>0</v>
      </c>
      <c r="E2093" t="s">
        <v>2103</v>
      </c>
      <c r="F2093" t="s"/>
      <c r="G2093" t="s"/>
      <c r="H2093" t="s"/>
      <c r="I2093" t="s"/>
      <c r="J2093" t="n">
        <v>0</v>
      </c>
      <c r="K2093" t="n">
        <v>0</v>
      </c>
      <c r="L2093" t="n">
        <v>1</v>
      </c>
      <c r="M2093" t="n">
        <v>0</v>
      </c>
    </row>
    <row r="2094" spans="1:13">
      <c r="A2094" s="1">
        <f>HYPERLINK("http://www.twitter.com/NathanBLawrence/status/936608893505064961", "936608893505064961")</f>
        <v/>
      </c>
      <c r="B2094" s="2" t="n">
        <v>43070.61962962963</v>
      </c>
      <c r="C2094" t="n">
        <v>0</v>
      </c>
      <c r="D2094" t="n">
        <v>0</v>
      </c>
      <c r="E2094" t="s">
        <v>2104</v>
      </c>
      <c r="F2094" t="s"/>
      <c r="G2094" t="s"/>
      <c r="H2094" t="s"/>
      <c r="I2094" t="s"/>
      <c r="J2094" t="n">
        <v>-0.2911</v>
      </c>
      <c r="K2094" t="n">
        <v>0.237</v>
      </c>
      <c r="L2094" t="n">
        <v>0.763</v>
      </c>
      <c r="M2094" t="n">
        <v>0</v>
      </c>
    </row>
    <row r="2095" spans="1:13">
      <c r="A2095" s="1">
        <f>HYPERLINK("http://www.twitter.com/NathanBLawrence/status/936608496967143424", "936608496967143424")</f>
        <v/>
      </c>
      <c r="B2095" s="2" t="n">
        <v>43070.61853009259</v>
      </c>
      <c r="C2095" t="n">
        <v>0</v>
      </c>
      <c r="D2095" t="n">
        <v>0</v>
      </c>
      <c r="E2095" t="s">
        <v>2105</v>
      </c>
      <c r="F2095" t="s"/>
      <c r="G2095" t="s"/>
      <c r="H2095" t="s"/>
      <c r="I2095" t="s"/>
      <c r="J2095" t="n">
        <v>0.5649999999999999</v>
      </c>
      <c r="K2095" t="n">
        <v>0</v>
      </c>
      <c r="L2095" t="n">
        <v>0.523</v>
      </c>
      <c r="M2095" t="n">
        <v>0.477</v>
      </c>
    </row>
    <row r="2096" spans="1:13">
      <c r="A2096" s="1">
        <f>HYPERLINK("http://www.twitter.com/NathanBLawrence/status/936607816760152064", "936607816760152064")</f>
        <v/>
      </c>
      <c r="B2096" s="2" t="n">
        <v>43070.61665509259</v>
      </c>
      <c r="C2096" t="n">
        <v>2</v>
      </c>
      <c r="D2096" t="n">
        <v>0</v>
      </c>
      <c r="E2096" t="s">
        <v>2106</v>
      </c>
      <c r="F2096" t="s"/>
      <c r="G2096" t="s"/>
      <c r="H2096" t="s"/>
      <c r="I2096" t="s"/>
      <c r="J2096" t="n">
        <v>0</v>
      </c>
      <c r="K2096" t="n">
        <v>0</v>
      </c>
      <c r="L2096" t="n">
        <v>1</v>
      </c>
      <c r="M2096" t="n">
        <v>0</v>
      </c>
    </row>
    <row r="2097" spans="1:13">
      <c r="A2097" s="1">
        <f>HYPERLINK("http://www.twitter.com/NathanBLawrence/status/936606998258503681", "936606998258503681")</f>
        <v/>
      </c>
      <c r="B2097" s="2" t="n">
        <v>43070.61439814815</v>
      </c>
      <c r="C2097" t="n">
        <v>0</v>
      </c>
      <c r="D2097" t="n">
        <v>0</v>
      </c>
      <c r="E2097" t="s">
        <v>2107</v>
      </c>
      <c r="F2097" t="s"/>
      <c r="G2097" t="s"/>
      <c r="H2097" t="s"/>
      <c r="I2097" t="s"/>
      <c r="J2097" t="n">
        <v>0</v>
      </c>
      <c r="K2097" t="n">
        <v>0</v>
      </c>
      <c r="L2097" t="n">
        <v>1</v>
      </c>
      <c r="M2097" t="n">
        <v>0</v>
      </c>
    </row>
    <row r="2098" spans="1:13">
      <c r="A2098" s="1">
        <f>HYPERLINK("http://www.twitter.com/NathanBLawrence/status/936606917941780481", "936606917941780481")</f>
        <v/>
      </c>
      <c r="B2098" s="2" t="n">
        <v>43070.61417824074</v>
      </c>
      <c r="C2098" t="n">
        <v>1</v>
      </c>
      <c r="D2098" t="n">
        <v>0</v>
      </c>
      <c r="E2098" t="s">
        <v>2108</v>
      </c>
      <c r="F2098" t="s"/>
      <c r="G2098" t="s"/>
      <c r="H2098" t="s"/>
      <c r="I2098" t="s"/>
      <c r="J2098" t="n">
        <v>0</v>
      </c>
      <c r="K2098" t="n">
        <v>0</v>
      </c>
      <c r="L2098" t="n">
        <v>1</v>
      </c>
      <c r="M2098" t="n">
        <v>0</v>
      </c>
    </row>
    <row r="2099" spans="1:13">
      <c r="A2099" s="1">
        <f>HYPERLINK("http://www.twitter.com/NathanBLawrence/status/936606649468538882", "936606649468538882")</f>
        <v/>
      </c>
      <c r="B2099" s="2" t="n">
        <v>43070.6134375</v>
      </c>
      <c r="C2099" t="n">
        <v>0</v>
      </c>
      <c r="D2099" t="n">
        <v>0</v>
      </c>
      <c r="E2099" t="s">
        <v>2109</v>
      </c>
      <c r="F2099" t="s"/>
      <c r="G2099" t="s"/>
      <c r="H2099" t="s"/>
      <c r="I2099" t="s"/>
      <c r="J2099" t="n">
        <v>0.4449</v>
      </c>
      <c r="K2099" t="n">
        <v>0</v>
      </c>
      <c r="L2099" t="n">
        <v>0.804</v>
      </c>
      <c r="M2099" t="n">
        <v>0.196</v>
      </c>
    </row>
    <row r="2100" spans="1:13">
      <c r="A2100" s="1">
        <f>HYPERLINK("http://www.twitter.com/NathanBLawrence/status/936606205090426881", "936606205090426881")</f>
        <v/>
      </c>
      <c r="B2100" s="2" t="n">
        <v>43070.61221064815</v>
      </c>
      <c r="C2100" t="n">
        <v>1</v>
      </c>
      <c r="D2100" t="n">
        <v>0</v>
      </c>
      <c r="E2100" t="s">
        <v>2110</v>
      </c>
      <c r="F2100" t="s"/>
      <c r="G2100" t="s"/>
      <c r="H2100" t="s"/>
      <c r="I2100" t="s"/>
      <c r="J2100" t="n">
        <v>0.3612</v>
      </c>
      <c r="K2100" t="n">
        <v>0</v>
      </c>
      <c r="L2100" t="n">
        <v>0.615</v>
      </c>
      <c r="M2100" t="n">
        <v>0.385</v>
      </c>
    </row>
    <row r="2101" spans="1:13">
      <c r="A2101" s="1">
        <f>HYPERLINK("http://www.twitter.com/NathanBLawrence/status/936605650431463425", "936605650431463425")</f>
        <v/>
      </c>
      <c r="B2101" s="2" t="n">
        <v>43070.61068287037</v>
      </c>
      <c r="C2101" t="n">
        <v>0</v>
      </c>
      <c r="D2101" t="n">
        <v>0</v>
      </c>
      <c r="E2101" t="s">
        <v>2111</v>
      </c>
      <c r="F2101" t="s"/>
      <c r="G2101" t="s"/>
      <c r="H2101" t="s"/>
      <c r="I2101" t="s"/>
      <c r="J2101" t="n">
        <v>-0.5574</v>
      </c>
      <c r="K2101" t="n">
        <v>0.231</v>
      </c>
      <c r="L2101" t="n">
        <v>0.769</v>
      </c>
      <c r="M2101" t="n">
        <v>0</v>
      </c>
    </row>
    <row r="2102" spans="1:13">
      <c r="A2102" s="1">
        <f>HYPERLINK("http://www.twitter.com/NathanBLawrence/status/936597660647280641", "936597660647280641")</f>
        <v/>
      </c>
      <c r="B2102" s="2" t="n">
        <v>43070.58863425926</v>
      </c>
      <c r="C2102" t="n">
        <v>0</v>
      </c>
      <c r="D2102" t="n">
        <v>0</v>
      </c>
      <c r="E2102" t="s">
        <v>2112</v>
      </c>
      <c r="F2102" t="s"/>
      <c r="G2102" t="s"/>
      <c r="H2102" t="s"/>
      <c r="I2102" t="s"/>
      <c r="J2102" t="n">
        <v>0.5574</v>
      </c>
      <c r="K2102" t="n">
        <v>0</v>
      </c>
      <c r="L2102" t="n">
        <v>0.85</v>
      </c>
      <c r="M2102" t="n">
        <v>0.15</v>
      </c>
    </row>
    <row r="2103" spans="1:13">
      <c r="A2103" s="1">
        <f>HYPERLINK("http://www.twitter.com/NathanBLawrence/status/936584172914671616", "936584172914671616")</f>
        <v/>
      </c>
      <c r="B2103" s="2" t="n">
        <v>43070.55141203704</v>
      </c>
      <c r="C2103" t="n">
        <v>1</v>
      </c>
      <c r="D2103" t="n">
        <v>0</v>
      </c>
      <c r="E2103" t="s">
        <v>2113</v>
      </c>
      <c r="F2103" t="s"/>
      <c r="G2103" t="s"/>
      <c r="H2103" t="s"/>
      <c r="I2103" t="s"/>
      <c r="J2103" t="n">
        <v>0</v>
      </c>
      <c r="K2103" t="n">
        <v>0</v>
      </c>
      <c r="L2103" t="n">
        <v>1</v>
      </c>
      <c r="M2103" t="n">
        <v>0</v>
      </c>
    </row>
    <row r="2104" spans="1:13">
      <c r="A2104" s="1">
        <f>HYPERLINK("http://www.twitter.com/NathanBLawrence/status/936559727873613824", "936559727873613824")</f>
        <v/>
      </c>
      <c r="B2104" s="2" t="n">
        <v>43070.48395833333</v>
      </c>
      <c r="C2104" t="n">
        <v>0</v>
      </c>
      <c r="D2104" t="n">
        <v>0</v>
      </c>
      <c r="E2104" t="s">
        <v>2114</v>
      </c>
      <c r="F2104" t="s"/>
      <c r="G2104" t="s"/>
      <c r="H2104" t="s"/>
      <c r="I2104" t="s"/>
      <c r="J2104" t="n">
        <v>0.6908</v>
      </c>
      <c r="K2104" t="n">
        <v>0</v>
      </c>
      <c r="L2104" t="n">
        <v>0.678</v>
      </c>
      <c r="M2104" t="n">
        <v>0.322</v>
      </c>
    </row>
    <row r="2105" spans="1:13">
      <c r="A2105" s="1">
        <f>HYPERLINK("http://www.twitter.com/NathanBLawrence/status/936452053978746880", "936452053978746880")</f>
        <v/>
      </c>
      <c r="B2105" s="2" t="n">
        <v>43070.18682870371</v>
      </c>
      <c r="C2105" t="n">
        <v>0</v>
      </c>
      <c r="D2105" t="n">
        <v>0</v>
      </c>
      <c r="E2105" t="s">
        <v>2115</v>
      </c>
      <c r="F2105" t="s"/>
      <c r="G2105" t="s"/>
      <c r="H2105" t="s"/>
      <c r="I2105" t="s"/>
      <c r="J2105" t="n">
        <v>0</v>
      </c>
      <c r="K2105" t="n">
        <v>0</v>
      </c>
      <c r="L2105" t="n">
        <v>1</v>
      </c>
      <c r="M2105" t="n">
        <v>0</v>
      </c>
    </row>
    <row r="2106" spans="1:13">
      <c r="A2106" s="1">
        <f>HYPERLINK("http://www.twitter.com/NathanBLawrence/status/936426960808562688", "936426960808562688")</f>
        <v/>
      </c>
      <c r="B2106" s="2" t="n">
        <v>43070.11759259259</v>
      </c>
      <c r="C2106" t="n">
        <v>0</v>
      </c>
      <c r="D2106" t="n">
        <v>400</v>
      </c>
      <c r="E2106" t="s">
        <v>2116</v>
      </c>
      <c r="F2106">
        <f>HYPERLINK("http://pbs.twimg.com/media/DP7KlJVVwAAeRle.jpg", "http://pbs.twimg.com/media/DP7KlJVVwAAeRle.jpg")</f>
        <v/>
      </c>
      <c r="G2106" t="s"/>
      <c r="H2106" t="s"/>
      <c r="I2106" t="s"/>
      <c r="J2106" t="n">
        <v>0.3182</v>
      </c>
      <c r="K2106" t="n">
        <v>0</v>
      </c>
      <c r="L2106" t="n">
        <v>0.901</v>
      </c>
      <c r="M2106" t="n">
        <v>0.099</v>
      </c>
    </row>
    <row r="2107" spans="1:13">
      <c r="A2107" s="1">
        <f>HYPERLINK("http://www.twitter.com/NathanBLawrence/status/936426048618627072", "936426048618627072")</f>
        <v/>
      </c>
      <c r="B2107" s="2" t="n">
        <v>43070.11506944444</v>
      </c>
      <c r="C2107" t="n">
        <v>6</v>
      </c>
      <c r="D2107" t="n">
        <v>1</v>
      </c>
      <c r="E2107" t="s">
        <v>2117</v>
      </c>
      <c r="F2107" t="s"/>
      <c r="G2107" t="s"/>
      <c r="H2107" t="s"/>
      <c r="I2107" t="s"/>
      <c r="J2107" t="n">
        <v>-0.34</v>
      </c>
      <c r="K2107" t="n">
        <v>0.098</v>
      </c>
      <c r="L2107" t="n">
        <v>0.902</v>
      </c>
      <c r="M2107" t="n">
        <v>0</v>
      </c>
    </row>
    <row r="2108" spans="1:13">
      <c r="A2108" s="1">
        <f>HYPERLINK("http://www.twitter.com/NathanBLawrence/status/936424519090221056", "936424519090221056")</f>
        <v/>
      </c>
      <c r="B2108" s="2" t="n">
        <v>43070.11084490741</v>
      </c>
      <c r="C2108" t="n">
        <v>0</v>
      </c>
      <c r="D2108" t="n">
        <v>0</v>
      </c>
      <c r="E2108" t="s">
        <v>2118</v>
      </c>
      <c r="F2108" t="s"/>
      <c r="G2108" t="s"/>
      <c r="H2108" t="s"/>
      <c r="I2108" t="s"/>
      <c r="J2108" t="n">
        <v>-0.4767</v>
      </c>
      <c r="K2108" t="n">
        <v>0.205</v>
      </c>
      <c r="L2108" t="n">
        <v>0.795</v>
      </c>
      <c r="M2108" t="n">
        <v>0</v>
      </c>
    </row>
    <row r="2109" spans="1:13">
      <c r="A2109" s="1">
        <f>HYPERLINK("http://www.twitter.com/NathanBLawrence/status/936415619020451841", "936415619020451841")</f>
        <v/>
      </c>
      <c r="B2109" s="2" t="n">
        <v>43070.08628472222</v>
      </c>
      <c r="C2109" t="n">
        <v>5</v>
      </c>
      <c r="D2109" t="n">
        <v>1</v>
      </c>
      <c r="E2109" t="s">
        <v>2119</v>
      </c>
      <c r="F2109" t="s"/>
      <c r="G2109" t="s"/>
      <c r="H2109" t="s"/>
      <c r="I2109" t="s"/>
      <c r="J2109" t="n">
        <v>0</v>
      </c>
      <c r="K2109" t="n">
        <v>0</v>
      </c>
      <c r="L2109" t="n">
        <v>1</v>
      </c>
      <c r="M2109" t="n">
        <v>0</v>
      </c>
    </row>
    <row r="2110" spans="1:13">
      <c r="A2110" s="1">
        <f>HYPERLINK("http://www.twitter.com/NathanBLawrence/status/936411489149255680", "936411489149255680")</f>
        <v/>
      </c>
      <c r="B2110" s="2" t="n">
        <v>43070.07489583334</v>
      </c>
      <c r="C2110" t="n">
        <v>0</v>
      </c>
      <c r="D2110" t="n">
        <v>0</v>
      </c>
      <c r="E2110" t="s">
        <v>2120</v>
      </c>
      <c r="F2110" t="s"/>
      <c r="G2110" t="s"/>
      <c r="H2110" t="s"/>
      <c r="I2110" t="s"/>
      <c r="J2110" t="n">
        <v>0.2263</v>
      </c>
      <c r="K2110" t="n">
        <v>0.091</v>
      </c>
      <c r="L2110" t="n">
        <v>0.779</v>
      </c>
      <c r="M2110" t="n">
        <v>0.13</v>
      </c>
    </row>
    <row r="2111" spans="1:13">
      <c r="A2111" s="1">
        <f>HYPERLINK("http://www.twitter.com/NathanBLawrence/status/936410320884596742", "936410320884596742")</f>
        <v/>
      </c>
      <c r="B2111" s="2" t="n">
        <v>43070.07166666666</v>
      </c>
      <c r="C2111" t="n">
        <v>0</v>
      </c>
      <c r="D2111" t="n">
        <v>0</v>
      </c>
      <c r="E2111" t="s">
        <v>2121</v>
      </c>
      <c r="F2111" t="s"/>
      <c r="G2111" t="s"/>
      <c r="H2111" t="s"/>
      <c r="I2111" t="s"/>
      <c r="J2111" t="n">
        <v>0.2023</v>
      </c>
      <c r="K2111" t="n">
        <v>0.057</v>
      </c>
      <c r="L2111" t="n">
        <v>0.86</v>
      </c>
      <c r="M2111" t="n">
        <v>0.083</v>
      </c>
    </row>
    <row r="2112" spans="1:13">
      <c r="A2112" s="1">
        <f>HYPERLINK("http://www.twitter.com/NathanBLawrence/status/936408033554550786", "936408033554550786")</f>
        <v/>
      </c>
      <c r="B2112" s="2" t="n">
        <v>43070.0653587963</v>
      </c>
      <c r="C2112" t="n">
        <v>0</v>
      </c>
      <c r="D2112" t="n">
        <v>0</v>
      </c>
      <c r="E2112" t="s">
        <v>2122</v>
      </c>
      <c r="F2112" t="s"/>
      <c r="G2112" t="s"/>
      <c r="H2112" t="s"/>
      <c r="I2112" t="s"/>
      <c r="J2112" t="n">
        <v>-0.4549</v>
      </c>
      <c r="K2112" t="n">
        <v>0.335</v>
      </c>
      <c r="L2112" t="n">
        <v>0.527</v>
      </c>
      <c r="M2112" t="n">
        <v>0.138</v>
      </c>
    </row>
    <row r="2113" spans="1:13">
      <c r="A2113" s="1">
        <f>HYPERLINK("http://www.twitter.com/NathanBLawrence/status/936360383568404481", "936360383568404481")</f>
        <v/>
      </c>
      <c r="B2113" s="2" t="n">
        <v>43069.93386574074</v>
      </c>
      <c r="C2113" t="n">
        <v>0</v>
      </c>
      <c r="D2113" t="n">
        <v>3721</v>
      </c>
      <c r="E2113" t="s">
        <v>2123</v>
      </c>
      <c r="F2113" t="s"/>
      <c r="G2113" t="s"/>
      <c r="H2113" t="s"/>
      <c r="I2113" t="s"/>
      <c r="J2113" t="n">
        <v>-0.6249</v>
      </c>
      <c r="K2113" t="n">
        <v>0.24</v>
      </c>
      <c r="L2113" t="n">
        <v>0.76</v>
      </c>
      <c r="M2113" t="n">
        <v>0</v>
      </c>
    </row>
    <row r="2114" spans="1:13">
      <c r="A2114" s="1">
        <f>HYPERLINK("http://www.twitter.com/NathanBLawrence/status/936345298280034304", "936345298280034304")</f>
        <v/>
      </c>
      <c r="B2114" s="2" t="n">
        <v>43069.89224537037</v>
      </c>
      <c r="C2114" t="n">
        <v>0</v>
      </c>
      <c r="D2114" t="n">
        <v>0</v>
      </c>
      <c r="E2114" t="s">
        <v>2124</v>
      </c>
      <c r="F2114" t="s"/>
      <c r="G2114" t="s"/>
      <c r="H2114" t="s"/>
      <c r="I2114" t="s"/>
      <c r="J2114" t="n">
        <v>0.4299</v>
      </c>
      <c r="K2114" t="n">
        <v>0.08400000000000001</v>
      </c>
      <c r="L2114" t="n">
        <v>0.759</v>
      </c>
      <c r="M2114" t="n">
        <v>0.157</v>
      </c>
    </row>
    <row r="2115" spans="1:13">
      <c r="A2115" s="1">
        <f>HYPERLINK("http://www.twitter.com/NathanBLawrence/status/936336860070268929", "936336860070268929")</f>
        <v/>
      </c>
      <c r="B2115" s="2" t="n">
        <v>43069.86895833333</v>
      </c>
      <c r="C2115" t="n">
        <v>1</v>
      </c>
      <c r="D2115" t="n">
        <v>0</v>
      </c>
      <c r="E2115" t="s">
        <v>2125</v>
      </c>
      <c r="F2115" t="s"/>
      <c r="G2115" t="s"/>
      <c r="H2115" t="s"/>
      <c r="I2115" t="s"/>
      <c r="J2115" t="n">
        <v>0.2732</v>
      </c>
      <c r="K2115" t="n">
        <v>0</v>
      </c>
      <c r="L2115" t="n">
        <v>0.741</v>
      </c>
      <c r="M2115" t="n">
        <v>0.259</v>
      </c>
    </row>
    <row r="2116" spans="1:13">
      <c r="A2116" s="1">
        <f>HYPERLINK("http://www.twitter.com/NathanBLawrence/status/936325856884068352", "936325856884068352")</f>
        <v/>
      </c>
      <c r="B2116" s="2" t="n">
        <v>43069.83859953703</v>
      </c>
      <c r="C2116" t="n">
        <v>0</v>
      </c>
      <c r="D2116" t="n">
        <v>0</v>
      </c>
      <c r="E2116" t="s">
        <v>2126</v>
      </c>
      <c r="F2116" t="s"/>
      <c r="G2116" t="s"/>
      <c r="H2116" t="s"/>
      <c r="I2116" t="s"/>
      <c r="J2116" t="n">
        <v>-0.5423</v>
      </c>
      <c r="K2116" t="n">
        <v>0.28</v>
      </c>
      <c r="L2116" t="n">
        <v>0.72</v>
      </c>
      <c r="M2116" t="n">
        <v>0</v>
      </c>
    </row>
    <row r="2117" spans="1:13">
      <c r="A2117" s="1">
        <f>HYPERLINK("http://www.twitter.com/NathanBLawrence/status/936314709116145664", "936314709116145664")</f>
        <v/>
      </c>
      <c r="B2117" s="2" t="n">
        <v>43069.80783564815</v>
      </c>
      <c r="C2117" t="n">
        <v>0</v>
      </c>
      <c r="D2117" t="n">
        <v>1</v>
      </c>
      <c r="E2117" t="s">
        <v>2127</v>
      </c>
      <c r="F2117" t="s"/>
      <c r="G2117" t="s"/>
      <c r="H2117" t="s"/>
      <c r="I2117" t="s"/>
      <c r="J2117" t="n">
        <v>0.3612</v>
      </c>
      <c r="K2117" t="n">
        <v>0</v>
      </c>
      <c r="L2117" t="n">
        <v>0.872</v>
      </c>
      <c r="M2117" t="n">
        <v>0.128</v>
      </c>
    </row>
    <row r="2118" spans="1:13">
      <c r="A2118" s="1">
        <f>HYPERLINK("http://www.twitter.com/NathanBLawrence/status/936308595448320002", "936308595448320002")</f>
        <v/>
      </c>
      <c r="B2118" s="2" t="n">
        <v>43069.79096064815</v>
      </c>
      <c r="C2118" t="n">
        <v>0</v>
      </c>
      <c r="D2118" t="n">
        <v>0</v>
      </c>
      <c r="E2118" t="s">
        <v>2128</v>
      </c>
      <c r="F2118" t="s"/>
      <c r="G2118" t="s"/>
      <c r="H2118" t="s"/>
      <c r="I2118" t="s"/>
      <c r="J2118" t="n">
        <v>0.2023</v>
      </c>
      <c r="K2118" t="n">
        <v>0</v>
      </c>
      <c r="L2118" t="n">
        <v>0.8159999999999999</v>
      </c>
      <c r="M2118" t="n">
        <v>0.184</v>
      </c>
    </row>
    <row r="2119" spans="1:13">
      <c r="A2119" s="1">
        <f>HYPERLINK("http://www.twitter.com/NathanBLawrence/status/936308417442074624", "936308417442074624")</f>
        <v/>
      </c>
      <c r="B2119" s="2" t="n">
        <v>43069.79047453704</v>
      </c>
      <c r="C2119" t="n">
        <v>0</v>
      </c>
      <c r="D2119" t="n">
        <v>0</v>
      </c>
      <c r="E2119" t="s">
        <v>2129</v>
      </c>
      <c r="F2119" t="s"/>
      <c r="G2119" t="s"/>
      <c r="H2119" t="s"/>
      <c r="I2119" t="s"/>
      <c r="J2119" t="n">
        <v>0</v>
      </c>
      <c r="K2119" t="n">
        <v>0</v>
      </c>
      <c r="L2119" t="n">
        <v>1</v>
      </c>
      <c r="M2119" t="n">
        <v>0</v>
      </c>
    </row>
    <row r="2120" spans="1:13">
      <c r="A2120" s="1">
        <f>HYPERLINK("http://www.twitter.com/NathanBLawrence/status/936289220511051777", "936289220511051777")</f>
        <v/>
      </c>
      <c r="B2120" s="2" t="n">
        <v>43069.7375</v>
      </c>
      <c r="C2120" t="n">
        <v>0</v>
      </c>
      <c r="D2120" t="n">
        <v>0</v>
      </c>
      <c r="E2120" t="s">
        <v>2130</v>
      </c>
      <c r="F2120" t="s"/>
      <c r="G2120" t="s"/>
      <c r="H2120" t="s"/>
      <c r="I2120" t="s"/>
      <c r="J2120" t="n">
        <v>0</v>
      </c>
      <c r="K2120" t="n">
        <v>0</v>
      </c>
      <c r="L2120" t="n">
        <v>1</v>
      </c>
      <c r="M2120" t="n">
        <v>0</v>
      </c>
    </row>
    <row r="2121" spans="1:13">
      <c r="A2121" s="1">
        <f>HYPERLINK("http://www.twitter.com/NathanBLawrence/status/936275710846660608", "936275710846660608")</f>
        <v/>
      </c>
      <c r="B2121" s="2" t="n">
        <v>43069.7002199074</v>
      </c>
      <c r="C2121" t="n">
        <v>3</v>
      </c>
      <c r="D2121" t="n">
        <v>1</v>
      </c>
      <c r="E2121" t="s">
        <v>2131</v>
      </c>
      <c r="F2121" t="s"/>
      <c r="G2121" t="s"/>
      <c r="H2121" t="s"/>
      <c r="I2121" t="s"/>
      <c r="J2121" t="n">
        <v>0.5688</v>
      </c>
      <c r="K2121" t="n">
        <v>0.079</v>
      </c>
      <c r="L2121" t="n">
        <v>0.737</v>
      </c>
      <c r="M2121" t="n">
        <v>0.184</v>
      </c>
    </row>
    <row r="2122" spans="1:13">
      <c r="A2122" s="1">
        <f>HYPERLINK("http://www.twitter.com/NathanBLawrence/status/936270094489055237", "936270094489055237")</f>
        <v/>
      </c>
      <c r="B2122" s="2" t="n">
        <v>43069.68472222222</v>
      </c>
      <c r="C2122" t="n">
        <v>0</v>
      </c>
      <c r="D2122" t="n">
        <v>0</v>
      </c>
      <c r="E2122" t="s">
        <v>2132</v>
      </c>
      <c r="F2122" t="s"/>
      <c r="G2122" t="s"/>
      <c r="H2122" t="s"/>
      <c r="I2122" t="s"/>
      <c r="J2122" t="n">
        <v>0.7627</v>
      </c>
      <c r="K2122" t="n">
        <v>0</v>
      </c>
      <c r="L2122" t="n">
        <v>0.681</v>
      </c>
      <c r="M2122" t="n">
        <v>0.319</v>
      </c>
    </row>
    <row r="2123" spans="1:13">
      <c r="A2123" s="1">
        <f>HYPERLINK("http://www.twitter.com/NathanBLawrence/status/936248092889886720", "936248092889886720")</f>
        <v/>
      </c>
      <c r="B2123" s="2" t="n">
        <v>43069.62400462963</v>
      </c>
      <c r="C2123" t="n">
        <v>1</v>
      </c>
      <c r="D2123" t="n">
        <v>0</v>
      </c>
      <c r="E2123" t="s">
        <v>2133</v>
      </c>
      <c r="F2123" t="s"/>
      <c r="G2123" t="s"/>
      <c r="H2123" t="s"/>
      <c r="I2123" t="s"/>
      <c r="J2123" t="n">
        <v>0</v>
      </c>
      <c r="K2123" t="n">
        <v>0</v>
      </c>
      <c r="L2123" t="n">
        <v>1</v>
      </c>
      <c r="M2123" t="n">
        <v>0</v>
      </c>
    </row>
    <row r="2124" spans="1:13">
      <c r="A2124" s="1">
        <f>HYPERLINK("http://www.twitter.com/NathanBLawrence/status/936082792580042752", "936082792580042752")</f>
        <v/>
      </c>
      <c r="B2124" s="2" t="n">
        <v>43069.1678587963</v>
      </c>
      <c r="C2124" t="n">
        <v>1</v>
      </c>
      <c r="D2124" t="n">
        <v>0</v>
      </c>
      <c r="E2124" t="s">
        <v>2134</v>
      </c>
      <c r="F2124" t="s"/>
      <c r="G2124" t="s"/>
      <c r="H2124" t="s"/>
      <c r="I2124" t="s"/>
      <c r="J2124" t="n">
        <v>0</v>
      </c>
      <c r="K2124" t="n">
        <v>0</v>
      </c>
      <c r="L2124" t="n">
        <v>1</v>
      </c>
      <c r="M2124" t="n">
        <v>0</v>
      </c>
    </row>
    <row r="2125" spans="1:13">
      <c r="A2125" s="1">
        <f>HYPERLINK("http://www.twitter.com/NathanBLawrence/status/936074785137790976", "936074785137790976")</f>
        <v/>
      </c>
      <c r="B2125" s="2" t="n">
        <v>43069.14576388889</v>
      </c>
      <c r="C2125" t="n">
        <v>0</v>
      </c>
      <c r="D2125" t="n">
        <v>0</v>
      </c>
      <c r="E2125" t="s">
        <v>2135</v>
      </c>
      <c r="F2125" t="s"/>
      <c r="G2125" t="s"/>
      <c r="H2125" t="s"/>
      <c r="I2125" t="s"/>
      <c r="J2125" t="n">
        <v>0</v>
      </c>
      <c r="K2125" t="n">
        <v>0</v>
      </c>
      <c r="L2125" t="n">
        <v>1</v>
      </c>
      <c r="M2125" t="n">
        <v>0</v>
      </c>
    </row>
    <row r="2126" spans="1:13">
      <c r="A2126" s="1">
        <f>HYPERLINK("http://www.twitter.com/NathanBLawrence/status/936073946331525120", "936073946331525120")</f>
        <v/>
      </c>
      <c r="B2126" s="2" t="n">
        <v>43069.14344907407</v>
      </c>
      <c r="C2126" t="n">
        <v>0</v>
      </c>
      <c r="D2126" t="n">
        <v>0</v>
      </c>
      <c r="E2126" t="s">
        <v>2136</v>
      </c>
      <c r="F2126" t="s"/>
      <c r="G2126" t="s"/>
      <c r="H2126" t="s"/>
      <c r="I2126" t="s"/>
      <c r="J2126" t="n">
        <v>0</v>
      </c>
      <c r="K2126" t="n">
        <v>0</v>
      </c>
      <c r="L2126" t="n">
        <v>1</v>
      </c>
      <c r="M2126" t="n">
        <v>0</v>
      </c>
    </row>
    <row r="2127" spans="1:13">
      <c r="A2127" s="1">
        <f>HYPERLINK("http://www.twitter.com/NathanBLawrence/status/936073820821221376", "936073820821221376")</f>
        <v/>
      </c>
      <c r="B2127" s="2" t="n">
        <v>43069.14310185185</v>
      </c>
      <c r="C2127" t="n">
        <v>0</v>
      </c>
      <c r="D2127" t="n">
        <v>0</v>
      </c>
      <c r="E2127" t="s">
        <v>2137</v>
      </c>
      <c r="F2127" t="s"/>
      <c r="G2127" t="s"/>
      <c r="H2127" t="s"/>
      <c r="I2127" t="s"/>
      <c r="J2127" t="n">
        <v>0.5266999999999999</v>
      </c>
      <c r="K2127" t="n">
        <v>0</v>
      </c>
      <c r="L2127" t="n">
        <v>0.732</v>
      </c>
      <c r="M2127" t="n">
        <v>0.268</v>
      </c>
    </row>
    <row r="2128" spans="1:13">
      <c r="A2128" s="1">
        <f>HYPERLINK("http://www.twitter.com/NathanBLawrence/status/936064624612528128", "936064624612528128")</f>
        <v/>
      </c>
      <c r="B2128" s="2" t="n">
        <v>43069.11773148148</v>
      </c>
      <c r="C2128" t="n">
        <v>0</v>
      </c>
      <c r="D2128" t="n">
        <v>7384</v>
      </c>
      <c r="E2128" t="s">
        <v>2138</v>
      </c>
      <c r="F2128">
        <f>HYPERLINK("https://video.twimg.com/ext_tw_video/935881014316097536/pu/vid/1280x720/IJXHoxwVY43fJWrR.mp4", "https://video.twimg.com/ext_tw_video/935881014316097536/pu/vid/1280x720/IJXHoxwVY43fJWrR.mp4")</f>
        <v/>
      </c>
      <c r="G2128" t="s"/>
      <c r="H2128" t="s"/>
      <c r="I2128" t="s"/>
      <c r="J2128" t="n">
        <v>0.0772</v>
      </c>
      <c r="K2128" t="n">
        <v>0.098</v>
      </c>
      <c r="L2128" t="n">
        <v>0.791</v>
      </c>
      <c r="M2128" t="n">
        <v>0.112</v>
      </c>
    </row>
    <row r="2129" spans="1:13">
      <c r="A2129" s="1">
        <f>HYPERLINK("http://www.twitter.com/NathanBLawrence/status/936063919239651329", "936063919239651329")</f>
        <v/>
      </c>
      <c r="B2129" s="2" t="n">
        <v>43069.11578703704</v>
      </c>
      <c r="C2129" t="n">
        <v>1</v>
      </c>
      <c r="D2129" t="n">
        <v>0</v>
      </c>
      <c r="E2129" t="s">
        <v>2139</v>
      </c>
      <c r="F2129" t="s"/>
      <c r="G2129" t="s"/>
      <c r="H2129" t="s"/>
      <c r="I2129" t="s"/>
      <c r="J2129" t="n">
        <v>0.3415</v>
      </c>
      <c r="K2129" t="n">
        <v>0</v>
      </c>
      <c r="L2129" t="n">
        <v>0.769</v>
      </c>
      <c r="M2129" t="n">
        <v>0.231</v>
      </c>
    </row>
    <row r="2130" spans="1:13">
      <c r="A2130" s="1">
        <f>HYPERLINK("http://www.twitter.com/NathanBLawrence/status/935984356333703169", "935984356333703169")</f>
        <v/>
      </c>
      <c r="B2130" s="2" t="n">
        <v>43068.89622685185</v>
      </c>
      <c r="C2130" t="n">
        <v>1</v>
      </c>
      <c r="D2130" t="n">
        <v>0</v>
      </c>
      <c r="E2130" t="s">
        <v>2140</v>
      </c>
      <c r="F2130" t="s"/>
      <c r="G2130" t="s"/>
      <c r="H2130" t="s"/>
      <c r="I2130" t="s"/>
      <c r="J2130" t="n">
        <v>0.6369</v>
      </c>
      <c r="K2130" t="n">
        <v>0</v>
      </c>
      <c r="L2130" t="n">
        <v>0.729</v>
      </c>
      <c r="M2130" t="n">
        <v>0.271</v>
      </c>
    </row>
    <row r="2131" spans="1:13">
      <c r="A2131" s="1">
        <f>HYPERLINK("http://www.twitter.com/NathanBLawrence/status/935981488272797696", "935981488272797696")</f>
        <v/>
      </c>
      <c r="B2131" s="2" t="n">
        <v>43068.88832175926</v>
      </c>
      <c r="C2131" t="n">
        <v>0</v>
      </c>
      <c r="D2131" t="n">
        <v>0</v>
      </c>
      <c r="E2131" t="s">
        <v>2141</v>
      </c>
      <c r="F2131" t="s"/>
      <c r="G2131" t="s"/>
      <c r="H2131" t="s"/>
      <c r="I2131" t="s"/>
      <c r="J2131" t="n">
        <v>-0.3287</v>
      </c>
      <c r="K2131" t="n">
        <v>0.205</v>
      </c>
      <c r="L2131" t="n">
        <v>0.6830000000000001</v>
      </c>
      <c r="M2131" t="n">
        <v>0.113</v>
      </c>
    </row>
    <row r="2132" spans="1:13">
      <c r="A2132" s="1">
        <f>HYPERLINK("http://www.twitter.com/NathanBLawrence/status/935980250529443845", "935980250529443845")</f>
        <v/>
      </c>
      <c r="B2132" s="2" t="n">
        <v>43068.88490740741</v>
      </c>
      <c r="C2132" t="n">
        <v>2</v>
      </c>
      <c r="D2132" t="n">
        <v>0</v>
      </c>
      <c r="E2132" t="s">
        <v>2142</v>
      </c>
      <c r="F2132" t="s"/>
      <c r="G2132" t="s"/>
      <c r="H2132" t="s"/>
      <c r="I2132" t="s"/>
      <c r="J2132" t="n">
        <v>-0.0618</v>
      </c>
      <c r="K2132" t="n">
        <v>0.154</v>
      </c>
      <c r="L2132" t="n">
        <v>0.741</v>
      </c>
      <c r="M2132" t="n">
        <v>0.105</v>
      </c>
    </row>
    <row r="2133" spans="1:13">
      <c r="A2133" s="1">
        <f>HYPERLINK("http://www.twitter.com/NathanBLawrence/status/935979823020855296", "935979823020855296")</f>
        <v/>
      </c>
      <c r="B2133" s="2" t="n">
        <v>43068.88372685185</v>
      </c>
      <c r="C2133" t="n">
        <v>1</v>
      </c>
      <c r="D2133" t="n">
        <v>0</v>
      </c>
      <c r="E2133" t="s">
        <v>2143</v>
      </c>
      <c r="F2133" t="s"/>
      <c r="G2133" t="s"/>
      <c r="H2133" t="s"/>
      <c r="I2133" t="s"/>
      <c r="J2133" t="n">
        <v>0.2462</v>
      </c>
      <c r="K2133" t="n">
        <v>0.083</v>
      </c>
      <c r="L2133" t="n">
        <v>0.798</v>
      </c>
      <c r="M2133" t="n">
        <v>0.119</v>
      </c>
    </row>
    <row r="2134" spans="1:13">
      <c r="A2134" s="1">
        <f>HYPERLINK("http://www.twitter.com/NathanBLawrence/status/935961271773683715", "935961271773683715")</f>
        <v/>
      </c>
      <c r="B2134" s="2" t="n">
        <v>43068.83253472222</v>
      </c>
      <c r="C2134" t="n">
        <v>0</v>
      </c>
      <c r="D2134" t="n">
        <v>13</v>
      </c>
      <c r="E2134" t="s">
        <v>2144</v>
      </c>
      <c r="F2134">
        <f>HYPERLINK("http://pbs.twimg.com/media/DP0zG1bVQAAJt_R.jpg", "http://pbs.twimg.com/media/DP0zG1bVQAAJt_R.jpg")</f>
        <v/>
      </c>
      <c r="G2134" t="s"/>
      <c r="H2134" t="s"/>
      <c r="I2134" t="s"/>
      <c r="J2134" t="n">
        <v>0</v>
      </c>
      <c r="K2134" t="n">
        <v>0</v>
      </c>
      <c r="L2134" t="n">
        <v>1</v>
      </c>
      <c r="M2134" t="n">
        <v>0</v>
      </c>
    </row>
    <row r="2135" spans="1:13">
      <c r="A2135" s="1">
        <f>HYPERLINK("http://www.twitter.com/NathanBLawrence/status/935951785281323008", "935951785281323008")</f>
        <v/>
      </c>
      <c r="B2135" s="2" t="n">
        <v>43068.80635416666</v>
      </c>
      <c r="C2135" t="n">
        <v>0</v>
      </c>
      <c r="D2135" t="n">
        <v>0</v>
      </c>
      <c r="E2135" t="s">
        <v>2145</v>
      </c>
      <c r="F2135" t="s"/>
      <c r="G2135" t="s"/>
      <c r="H2135" t="s"/>
      <c r="I2135" t="s"/>
      <c r="J2135" t="n">
        <v>0.858</v>
      </c>
      <c r="K2135" t="n">
        <v>0</v>
      </c>
      <c r="L2135" t="n">
        <v>0.654</v>
      </c>
      <c r="M2135" t="n">
        <v>0.346</v>
      </c>
    </row>
    <row r="2136" spans="1:13">
      <c r="A2136" s="1">
        <f>HYPERLINK("http://www.twitter.com/NathanBLawrence/status/935951357961490432", "935951357961490432")</f>
        <v/>
      </c>
      <c r="B2136" s="2" t="n">
        <v>43068.80517361111</v>
      </c>
      <c r="C2136" t="n">
        <v>0</v>
      </c>
      <c r="D2136" t="n">
        <v>0</v>
      </c>
      <c r="E2136" t="s">
        <v>2146</v>
      </c>
      <c r="F2136" t="s"/>
      <c r="G2136" t="s"/>
      <c r="H2136" t="s"/>
      <c r="I2136" t="s"/>
      <c r="J2136" t="n">
        <v>0.4621</v>
      </c>
      <c r="K2136" t="n">
        <v>0</v>
      </c>
      <c r="L2136" t="n">
        <v>0.833</v>
      </c>
      <c r="M2136" t="n">
        <v>0.167</v>
      </c>
    </row>
    <row r="2137" spans="1:13">
      <c r="A2137" s="1">
        <f>HYPERLINK("http://www.twitter.com/NathanBLawrence/status/935950605260132352", "935950605260132352")</f>
        <v/>
      </c>
      <c r="B2137" s="2" t="n">
        <v>43068.80310185185</v>
      </c>
      <c r="C2137" t="n">
        <v>1</v>
      </c>
      <c r="D2137" t="n">
        <v>0</v>
      </c>
      <c r="E2137" t="s">
        <v>2147</v>
      </c>
      <c r="F2137" t="s"/>
      <c r="G2137" t="s"/>
      <c r="H2137" t="s"/>
      <c r="I2137" t="s"/>
      <c r="J2137" t="n">
        <v>0</v>
      </c>
      <c r="K2137" t="n">
        <v>0</v>
      </c>
      <c r="L2137" t="n">
        <v>1</v>
      </c>
      <c r="M2137" t="n">
        <v>0</v>
      </c>
    </row>
    <row r="2138" spans="1:13">
      <c r="A2138" s="1">
        <f>HYPERLINK("http://www.twitter.com/NathanBLawrence/status/935917883959455745", "935917883959455745")</f>
        <v/>
      </c>
      <c r="B2138" s="2" t="n">
        <v>43068.71280092592</v>
      </c>
      <c r="C2138" t="n">
        <v>0</v>
      </c>
      <c r="D2138" t="n">
        <v>0</v>
      </c>
      <c r="E2138" t="s">
        <v>2148</v>
      </c>
      <c r="F2138" t="s"/>
      <c r="G2138" t="s"/>
      <c r="H2138" t="s"/>
      <c r="I2138" t="s"/>
      <c r="J2138" t="n">
        <v>0.7405</v>
      </c>
      <c r="K2138" t="n">
        <v>0</v>
      </c>
      <c r="L2138" t="n">
        <v>0.631</v>
      </c>
      <c r="M2138" t="n">
        <v>0.369</v>
      </c>
    </row>
    <row r="2139" spans="1:13">
      <c r="A2139" s="1">
        <f>HYPERLINK("http://www.twitter.com/NathanBLawrence/status/935882131447873536", "935882131447873536")</f>
        <v/>
      </c>
      <c r="B2139" s="2" t="n">
        <v>43068.61414351852</v>
      </c>
      <c r="C2139" t="n">
        <v>0</v>
      </c>
      <c r="D2139" t="n">
        <v>19826</v>
      </c>
      <c r="E2139" t="s">
        <v>2149</v>
      </c>
      <c r="F2139" t="s"/>
      <c r="G2139" t="s"/>
      <c r="H2139" t="s"/>
      <c r="I2139" t="s"/>
      <c r="J2139" t="n">
        <v>0</v>
      </c>
      <c r="K2139" t="n">
        <v>0</v>
      </c>
      <c r="L2139" t="n">
        <v>1</v>
      </c>
      <c r="M2139" t="n">
        <v>0</v>
      </c>
    </row>
    <row r="2140" spans="1:13">
      <c r="A2140" s="1">
        <f>HYPERLINK("http://www.twitter.com/NathanBLawrence/status/935723644013174784", "935723644013174784")</f>
        <v/>
      </c>
      <c r="B2140" s="2" t="n">
        <v>43068.17680555556</v>
      </c>
      <c r="C2140" t="n">
        <v>1</v>
      </c>
      <c r="D2140" t="n">
        <v>0</v>
      </c>
      <c r="E2140" t="s">
        <v>2150</v>
      </c>
      <c r="F2140" t="s"/>
      <c r="G2140" t="s"/>
      <c r="H2140" t="s"/>
      <c r="I2140" t="s"/>
      <c r="J2140" t="n">
        <v>0.3612</v>
      </c>
      <c r="K2140" t="n">
        <v>0</v>
      </c>
      <c r="L2140" t="n">
        <v>0.8149999999999999</v>
      </c>
      <c r="M2140" t="n">
        <v>0.185</v>
      </c>
    </row>
    <row r="2141" spans="1:13">
      <c r="A2141" s="1">
        <f>HYPERLINK("http://www.twitter.com/NathanBLawrence/status/935705678127169536", "935705678127169536")</f>
        <v/>
      </c>
      <c r="B2141" s="2" t="n">
        <v>43068.12722222223</v>
      </c>
      <c r="C2141" t="n">
        <v>0</v>
      </c>
      <c r="D2141" t="n">
        <v>0</v>
      </c>
      <c r="E2141" t="s">
        <v>2151</v>
      </c>
      <c r="F2141" t="s"/>
      <c r="G2141" t="s"/>
      <c r="H2141" t="s"/>
      <c r="I2141" t="s"/>
      <c r="J2141" t="n">
        <v>0</v>
      </c>
      <c r="K2141" t="n">
        <v>0</v>
      </c>
      <c r="L2141" t="n">
        <v>1</v>
      </c>
      <c r="M2141" t="n">
        <v>0</v>
      </c>
    </row>
    <row r="2142" spans="1:13">
      <c r="A2142" s="1">
        <f>HYPERLINK("http://www.twitter.com/NathanBLawrence/status/935698983481208832", "935698983481208832")</f>
        <v/>
      </c>
      <c r="B2142" s="2" t="n">
        <v>43068.10875</v>
      </c>
      <c r="C2142" t="n">
        <v>1</v>
      </c>
      <c r="D2142" t="n">
        <v>1</v>
      </c>
      <c r="E2142" t="s">
        <v>2152</v>
      </c>
      <c r="F2142" t="s"/>
      <c r="G2142" t="s"/>
      <c r="H2142" t="s"/>
      <c r="I2142" t="s"/>
      <c r="J2142" t="n">
        <v>0.3612</v>
      </c>
      <c r="K2142" t="n">
        <v>0</v>
      </c>
      <c r="L2142" t="n">
        <v>0.865</v>
      </c>
      <c r="M2142" t="n">
        <v>0.135</v>
      </c>
    </row>
    <row r="2143" spans="1:13">
      <c r="A2143" s="1">
        <f>HYPERLINK("http://www.twitter.com/NathanBLawrence/status/935698318142922753", "935698318142922753")</f>
        <v/>
      </c>
      <c r="B2143" s="2" t="n">
        <v>43068.1069212963</v>
      </c>
      <c r="C2143" t="n">
        <v>0</v>
      </c>
      <c r="D2143" t="n">
        <v>0</v>
      </c>
      <c r="E2143" t="s">
        <v>2153</v>
      </c>
      <c r="F2143" t="s"/>
      <c r="G2143" t="s"/>
      <c r="H2143" t="s"/>
      <c r="I2143" t="s"/>
      <c r="J2143" t="n">
        <v>0.3182</v>
      </c>
      <c r="K2143" t="n">
        <v>0</v>
      </c>
      <c r="L2143" t="n">
        <v>0.892</v>
      </c>
      <c r="M2143" t="n">
        <v>0.108</v>
      </c>
    </row>
    <row r="2144" spans="1:13">
      <c r="A2144" s="1">
        <f>HYPERLINK("http://www.twitter.com/NathanBLawrence/status/935697054508158976", "935697054508158976")</f>
        <v/>
      </c>
      <c r="B2144" s="2" t="n">
        <v>43068.10342592592</v>
      </c>
      <c r="C2144" t="n">
        <v>1</v>
      </c>
      <c r="D2144" t="n">
        <v>0</v>
      </c>
      <c r="E2144" t="s">
        <v>2154</v>
      </c>
      <c r="F2144" t="s"/>
      <c r="G2144" t="s"/>
      <c r="H2144" t="s"/>
      <c r="I2144" t="s"/>
      <c r="J2144" t="n">
        <v>0</v>
      </c>
      <c r="K2144" t="n">
        <v>0</v>
      </c>
      <c r="L2144" t="n">
        <v>1</v>
      </c>
      <c r="M2144" t="n">
        <v>0</v>
      </c>
    </row>
    <row r="2145" spans="1:13">
      <c r="A2145" s="1">
        <f>HYPERLINK("http://www.twitter.com/NathanBLawrence/status/935696360199868416", "935696360199868416")</f>
        <v/>
      </c>
      <c r="B2145" s="2" t="n">
        <v>43068.1015162037</v>
      </c>
      <c r="C2145" t="n">
        <v>0</v>
      </c>
      <c r="D2145" t="n">
        <v>0</v>
      </c>
      <c r="E2145" t="s">
        <v>2155</v>
      </c>
      <c r="F2145" t="s"/>
      <c r="G2145" t="s"/>
      <c r="H2145" t="s"/>
      <c r="I2145" t="s"/>
      <c r="J2145" t="n">
        <v>0</v>
      </c>
      <c r="K2145" t="n">
        <v>0</v>
      </c>
      <c r="L2145" t="n">
        <v>1</v>
      </c>
      <c r="M2145" t="n">
        <v>0</v>
      </c>
    </row>
    <row r="2146" spans="1:13">
      <c r="A2146" s="1">
        <f>HYPERLINK("http://www.twitter.com/NathanBLawrence/status/935690418368507905", "935690418368507905")</f>
        <v/>
      </c>
      <c r="B2146" s="2" t="n">
        <v>43068.08511574074</v>
      </c>
      <c r="C2146" t="n">
        <v>1</v>
      </c>
      <c r="D2146" t="n">
        <v>0</v>
      </c>
      <c r="E2146" t="s">
        <v>2156</v>
      </c>
      <c r="F2146" t="s"/>
      <c r="G2146" t="s"/>
      <c r="H2146" t="s"/>
      <c r="I2146" t="s"/>
      <c r="J2146" t="n">
        <v>0.4215</v>
      </c>
      <c r="K2146" t="n">
        <v>0.204</v>
      </c>
      <c r="L2146" t="n">
        <v>0.408</v>
      </c>
      <c r="M2146" t="n">
        <v>0.388</v>
      </c>
    </row>
    <row r="2147" spans="1:13">
      <c r="A2147" s="1">
        <f>HYPERLINK("http://www.twitter.com/NathanBLawrence/status/935689717273825280", "935689717273825280")</f>
        <v/>
      </c>
      <c r="B2147" s="2" t="n">
        <v>43068.08318287037</v>
      </c>
      <c r="C2147" t="n">
        <v>0</v>
      </c>
      <c r="D2147" t="n">
        <v>0</v>
      </c>
      <c r="E2147" t="s">
        <v>2157</v>
      </c>
      <c r="F2147" t="s"/>
      <c r="G2147" t="s"/>
      <c r="H2147" t="s"/>
      <c r="I2147" t="s"/>
      <c r="J2147" t="n">
        <v>0.4574</v>
      </c>
      <c r="K2147" t="n">
        <v>0</v>
      </c>
      <c r="L2147" t="n">
        <v>0.626</v>
      </c>
      <c r="M2147" t="n">
        <v>0.374</v>
      </c>
    </row>
    <row r="2148" spans="1:13">
      <c r="A2148" s="1">
        <f>HYPERLINK("http://www.twitter.com/NathanBLawrence/status/935686891583746053", "935686891583746053")</f>
        <v/>
      </c>
      <c r="B2148" s="2" t="n">
        <v>43068.07538194444</v>
      </c>
      <c r="C2148" t="n">
        <v>0</v>
      </c>
      <c r="D2148" t="n">
        <v>0</v>
      </c>
      <c r="E2148" t="s">
        <v>2158</v>
      </c>
      <c r="F2148" t="s"/>
      <c r="G2148" t="s"/>
      <c r="H2148" t="s"/>
      <c r="I2148" t="s"/>
      <c r="J2148" t="n">
        <v>0.6209</v>
      </c>
      <c r="K2148" t="n">
        <v>0</v>
      </c>
      <c r="L2148" t="n">
        <v>0.33</v>
      </c>
      <c r="M2148" t="n">
        <v>0.67</v>
      </c>
    </row>
    <row r="2149" spans="1:13">
      <c r="A2149" s="1">
        <f>HYPERLINK("http://www.twitter.com/NathanBLawrence/status/935661150590717952", "935661150590717952")</f>
        <v/>
      </c>
      <c r="B2149" s="2" t="n">
        <v>43068.00435185185</v>
      </c>
      <c r="C2149" t="n">
        <v>0</v>
      </c>
      <c r="D2149" t="n">
        <v>1461</v>
      </c>
      <c r="E2149" t="s">
        <v>2159</v>
      </c>
      <c r="F2149" t="s"/>
      <c r="G2149" t="s"/>
      <c r="H2149" t="s"/>
      <c r="I2149" t="s"/>
      <c r="J2149" t="n">
        <v>0.34</v>
      </c>
      <c r="K2149" t="n">
        <v>0</v>
      </c>
      <c r="L2149" t="n">
        <v>0.87</v>
      </c>
      <c r="M2149" t="n">
        <v>0.13</v>
      </c>
    </row>
    <row r="2150" spans="1:13">
      <c r="A2150" s="1">
        <f>HYPERLINK("http://www.twitter.com/NathanBLawrence/status/935618406975524869", "935618406975524869")</f>
        <v/>
      </c>
      <c r="B2150" s="2" t="n">
        <v>43067.88640046296</v>
      </c>
      <c r="C2150" t="n">
        <v>1</v>
      </c>
      <c r="D2150" t="n">
        <v>0</v>
      </c>
      <c r="E2150" t="s">
        <v>2160</v>
      </c>
      <c r="F2150" t="s"/>
      <c r="G2150" t="s"/>
      <c r="H2150" t="s"/>
      <c r="I2150" t="s"/>
      <c r="J2150" t="n">
        <v>-0.4724</v>
      </c>
      <c r="K2150" t="n">
        <v>0.204</v>
      </c>
      <c r="L2150" t="n">
        <v>0.796</v>
      </c>
      <c r="M2150" t="n">
        <v>0</v>
      </c>
    </row>
    <row r="2151" spans="1:13">
      <c r="A2151" s="1">
        <f>HYPERLINK("http://www.twitter.com/NathanBLawrence/status/935578077920362510", "935578077920362510")</f>
        <v/>
      </c>
      <c r="B2151" s="2" t="n">
        <v>43067.77511574074</v>
      </c>
      <c r="C2151" t="n">
        <v>1</v>
      </c>
      <c r="D2151" t="n">
        <v>0</v>
      </c>
      <c r="E2151" t="s">
        <v>2161</v>
      </c>
      <c r="F2151" t="s"/>
      <c r="G2151" t="s"/>
      <c r="H2151" t="s"/>
      <c r="I2151" t="s"/>
      <c r="J2151" t="n">
        <v>-0.4767</v>
      </c>
      <c r="K2151" t="n">
        <v>0.608</v>
      </c>
      <c r="L2151" t="n">
        <v>0.392</v>
      </c>
      <c r="M2151" t="n">
        <v>0</v>
      </c>
    </row>
    <row r="2152" spans="1:13">
      <c r="A2152" s="1">
        <f>HYPERLINK("http://www.twitter.com/NathanBLawrence/status/935527459482689539", "935527459482689539")</f>
        <v/>
      </c>
      <c r="B2152" s="2" t="n">
        <v>43067.63543981482</v>
      </c>
      <c r="C2152" t="n">
        <v>4</v>
      </c>
      <c r="D2152" t="n">
        <v>1</v>
      </c>
      <c r="E2152" t="s">
        <v>2162</v>
      </c>
      <c r="F2152" t="s"/>
      <c r="G2152" t="s"/>
      <c r="H2152" t="s"/>
      <c r="I2152" t="s"/>
      <c r="J2152" t="n">
        <v>0</v>
      </c>
      <c r="K2152" t="n">
        <v>0</v>
      </c>
      <c r="L2152" t="n">
        <v>1</v>
      </c>
      <c r="M2152" t="n">
        <v>0</v>
      </c>
    </row>
    <row r="2153" spans="1:13">
      <c r="A2153" s="1">
        <f>HYPERLINK("http://www.twitter.com/NathanBLawrence/status/935348282964037632", "935348282964037632")</f>
        <v/>
      </c>
      <c r="B2153" s="2" t="n">
        <v>43067.14100694445</v>
      </c>
      <c r="C2153" t="n">
        <v>1</v>
      </c>
      <c r="D2153" t="n">
        <v>0</v>
      </c>
      <c r="E2153" t="s">
        <v>2163</v>
      </c>
      <c r="F2153" t="s"/>
      <c r="G2153" t="s"/>
      <c r="H2153" t="s"/>
      <c r="I2153" t="s"/>
      <c r="J2153" t="n">
        <v>0</v>
      </c>
      <c r="K2153" t="n">
        <v>0</v>
      </c>
      <c r="L2153" t="n">
        <v>1</v>
      </c>
      <c r="M2153" t="n">
        <v>0</v>
      </c>
    </row>
    <row r="2154" spans="1:13">
      <c r="A2154" s="1">
        <f>HYPERLINK("http://www.twitter.com/NathanBLawrence/status/935331671750127617", "935331671750127617")</f>
        <v/>
      </c>
      <c r="B2154" s="2" t="n">
        <v>43067.09516203704</v>
      </c>
      <c r="C2154" t="n">
        <v>2</v>
      </c>
      <c r="D2154" t="n">
        <v>0</v>
      </c>
      <c r="E2154" t="s">
        <v>2164</v>
      </c>
      <c r="F2154" t="s"/>
      <c r="G2154" t="s"/>
      <c r="H2154" t="s"/>
      <c r="I2154" t="s"/>
      <c r="J2154" t="n">
        <v>0.4019</v>
      </c>
      <c r="K2154" t="n">
        <v>0</v>
      </c>
      <c r="L2154" t="n">
        <v>0.837</v>
      </c>
      <c r="M2154" t="n">
        <v>0.163</v>
      </c>
    </row>
    <row r="2155" spans="1:13">
      <c r="A2155" s="1">
        <f>HYPERLINK("http://www.twitter.com/NathanBLawrence/status/935331425854861312", "935331425854861312")</f>
        <v/>
      </c>
      <c r="B2155" s="2" t="n">
        <v>43067.09449074074</v>
      </c>
      <c r="C2155" t="n">
        <v>0</v>
      </c>
      <c r="D2155" t="n">
        <v>0</v>
      </c>
      <c r="E2155" t="s">
        <v>2165</v>
      </c>
      <c r="F2155" t="s"/>
      <c r="G2155" t="s"/>
      <c r="H2155" t="s"/>
      <c r="I2155" t="s"/>
      <c r="J2155" t="n">
        <v>0</v>
      </c>
      <c r="K2155" t="n">
        <v>0</v>
      </c>
      <c r="L2155" t="n">
        <v>1</v>
      </c>
      <c r="M2155" t="n">
        <v>0</v>
      </c>
    </row>
    <row r="2156" spans="1:13">
      <c r="A2156" s="1">
        <f>HYPERLINK("http://www.twitter.com/NathanBLawrence/status/935233042494435329", "935233042494435329")</f>
        <v/>
      </c>
      <c r="B2156" s="2" t="n">
        <v>43066.82299768519</v>
      </c>
      <c r="C2156" t="n">
        <v>1</v>
      </c>
      <c r="D2156" t="n">
        <v>1</v>
      </c>
      <c r="E2156" t="s">
        <v>2166</v>
      </c>
      <c r="F2156" t="s"/>
      <c r="G2156" t="s"/>
      <c r="H2156" t="s"/>
      <c r="I2156" t="s"/>
      <c r="J2156" t="n">
        <v>-0.4738</v>
      </c>
      <c r="K2156" t="n">
        <v>0.128</v>
      </c>
      <c r="L2156" t="n">
        <v>0.872</v>
      </c>
      <c r="M2156" t="n">
        <v>0</v>
      </c>
    </row>
    <row r="2157" spans="1:13">
      <c r="A2157" s="1">
        <f>HYPERLINK("http://www.twitter.com/NathanBLawrence/status/935201722657583105", "935201722657583105")</f>
        <v/>
      </c>
      <c r="B2157" s="2" t="n">
        <v>43066.73657407407</v>
      </c>
      <c r="C2157" t="n">
        <v>0</v>
      </c>
      <c r="D2157" t="n">
        <v>0</v>
      </c>
      <c r="E2157" t="s">
        <v>2167</v>
      </c>
      <c r="F2157" t="s"/>
      <c r="G2157" t="s"/>
      <c r="H2157" t="s"/>
      <c r="I2157" t="s"/>
      <c r="J2157" t="n">
        <v>0.25</v>
      </c>
      <c r="K2157" t="n">
        <v>0.095</v>
      </c>
      <c r="L2157" t="n">
        <v>0.743</v>
      </c>
      <c r="M2157" t="n">
        <v>0.162</v>
      </c>
    </row>
    <row r="2158" spans="1:13">
      <c r="A2158" s="1">
        <f>HYPERLINK("http://www.twitter.com/NathanBLawrence/status/935194976614539264", "935194976614539264")</f>
        <v/>
      </c>
      <c r="B2158" s="2" t="n">
        <v>43066.71796296296</v>
      </c>
      <c r="C2158" t="n">
        <v>0</v>
      </c>
      <c r="D2158" t="n">
        <v>0</v>
      </c>
      <c r="E2158" t="s">
        <v>2168</v>
      </c>
      <c r="F2158" t="s"/>
      <c r="G2158" t="s"/>
      <c r="H2158" t="s"/>
      <c r="I2158" t="s"/>
      <c r="J2158" t="n">
        <v>0</v>
      </c>
      <c r="K2158" t="n">
        <v>0</v>
      </c>
      <c r="L2158" t="n">
        <v>1</v>
      </c>
      <c r="M2158" t="n">
        <v>0</v>
      </c>
    </row>
    <row r="2159" spans="1:13">
      <c r="A2159" s="1">
        <f>HYPERLINK("http://www.twitter.com/NathanBLawrence/status/935158441949229057", "935158441949229057")</f>
        <v/>
      </c>
      <c r="B2159" s="2" t="n">
        <v>43066.6171412037</v>
      </c>
      <c r="C2159" t="n">
        <v>1</v>
      </c>
      <c r="D2159" t="n">
        <v>1</v>
      </c>
      <c r="E2159" t="s">
        <v>2169</v>
      </c>
      <c r="F2159" t="s"/>
      <c r="G2159" t="s"/>
      <c r="H2159" t="s"/>
      <c r="I2159" t="s"/>
      <c r="J2159" t="n">
        <v>0</v>
      </c>
      <c r="K2159" t="n">
        <v>0</v>
      </c>
      <c r="L2159" t="n">
        <v>1</v>
      </c>
      <c r="M2159" t="n">
        <v>0</v>
      </c>
    </row>
    <row r="2160" spans="1:13">
      <c r="A2160" s="1">
        <f>HYPERLINK("http://www.twitter.com/NathanBLawrence/status/935158297866526720", "935158297866526720")</f>
        <v/>
      </c>
      <c r="B2160" s="2" t="n">
        <v>43066.61674768518</v>
      </c>
      <c r="C2160" t="n">
        <v>0</v>
      </c>
      <c r="D2160" t="n">
        <v>301</v>
      </c>
      <c r="E2160" t="s">
        <v>2170</v>
      </c>
      <c r="F2160" t="s"/>
      <c r="G2160" t="s"/>
      <c r="H2160" t="s"/>
      <c r="I2160" t="s"/>
      <c r="J2160" t="n">
        <v>-0.1779</v>
      </c>
      <c r="K2160" t="n">
        <v>0.096</v>
      </c>
      <c r="L2160" t="n">
        <v>0.904</v>
      </c>
      <c r="M2160" t="n">
        <v>0</v>
      </c>
    </row>
    <row r="2161" spans="1:13">
      <c r="A2161" s="1">
        <f>HYPERLINK("http://www.twitter.com/NathanBLawrence/status/935153832794951680", "935153832794951680")</f>
        <v/>
      </c>
      <c r="B2161" s="2" t="n">
        <v>43066.6044212963</v>
      </c>
      <c r="C2161" t="n">
        <v>0</v>
      </c>
      <c r="D2161" t="n">
        <v>0</v>
      </c>
      <c r="E2161" t="s">
        <v>2171</v>
      </c>
      <c r="F2161" t="s"/>
      <c r="G2161" t="s"/>
      <c r="H2161" t="s"/>
      <c r="I2161" t="s"/>
      <c r="J2161" t="n">
        <v>0.5053</v>
      </c>
      <c r="K2161" t="n">
        <v>0</v>
      </c>
      <c r="L2161" t="n">
        <v>0.71</v>
      </c>
      <c r="M2161" t="n">
        <v>0.29</v>
      </c>
    </row>
    <row r="2162" spans="1:13">
      <c r="A2162" s="1">
        <f>HYPERLINK("http://www.twitter.com/NathanBLawrence/status/935135682510671873", "935135682510671873")</f>
        <v/>
      </c>
      <c r="B2162" s="2" t="n">
        <v>43066.55434027778</v>
      </c>
      <c r="C2162" t="n">
        <v>0</v>
      </c>
      <c r="D2162" t="n">
        <v>4326</v>
      </c>
      <c r="E2162" t="s">
        <v>1937</v>
      </c>
      <c r="F2162" t="s"/>
      <c r="G2162" t="s"/>
      <c r="H2162" t="s"/>
      <c r="I2162" t="s"/>
      <c r="J2162" t="n">
        <v>0.4574</v>
      </c>
      <c r="K2162" t="n">
        <v>0</v>
      </c>
      <c r="L2162" t="n">
        <v>0.77</v>
      </c>
      <c r="M2162" t="n">
        <v>0.23</v>
      </c>
    </row>
    <row r="2163" spans="1:13">
      <c r="A2163" s="1">
        <f>HYPERLINK("http://www.twitter.com/NathanBLawrence/status/935134660945903616", "935134660945903616")</f>
        <v/>
      </c>
      <c r="B2163" s="2" t="n">
        <v>43066.5515162037</v>
      </c>
      <c r="C2163" t="n">
        <v>1</v>
      </c>
      <c r="D2163" t="n">
        <v>0</v>
      </c>
      <c r="E2163" t="s">
        <v>2172</v>
      </c>
      <c r="F2163" t="s"/>
      <c r="G2163" t="s"/>
      <c r="H2163" t="s"/>
      <c r="I2163" t="s"/>
      <c r="J2163" t="n">
        <v>0</v>
      </c>
      <c r="K2163" t="n">
        <v>0</v>
      </c>
      <c r="L2163" t="n">
        <v>1</v>
      </c>
      <c r="M2163" t="n">
        <v>0</v>
      </c>
    </row>
    <row r="2164" spans="1:13">
      <c r="A2164" s="1">
        <f>HYPERLINK("http://www.twitter.com/NathanBLawrence/status/934817336309239815", "934817336309239815")</f>
        <v/>
      </c>
      <c r="B2164" s="2" t="n">
        <v>43065.67586805556</v>
      </c>
      <c r="C2164" t="n">
        <v>0</v>
      </c>
      <c r="D2164" t="n">
        <v>0</v>
      </c>
      <c r="E2164" t="s">
        <v>2173</v>
      </c>
      <c r="F2164" t="s"/>
      <c r="G2164" t="s"/>
      <c r="H2164" t="s"/>
      <c r="I2164" t="s"/>
      <c r="J2164" t="n">
        <v>0.7169</v>
      </c>
      <c r="K2164" t="n">
        <v>0.054</v>
      </c>
      <c r="L2164" t="n">
        <v>0.714</v>
      </c>
      <c r="M2164" t="n">
        <v>0.232</v>
      </c>
    </row>
    <row r="2165" spans="1:13">
      <c r="A2165" s="1">
        <f>HYPERLINK("http://www.twitter.com/NathanBLawrence/status/934597209412259840", "934597209412259840")</f>
        <v/>
      </c>
      <c r="B2165" s="2" t="n">
        <v>43065.0684375</v>
      </c>
      <c r="C2165" t="n">
        <v>5</v>
      </c>
      <c r="D2165" t="n">
        <v>1</v>
      </c>
      <c r="E2165" t="s">
        <v>2174</v>
      </c>
      <c r="F2165" t="s"/>
      <c r="G2165" t="s"/>
      <c r="H2165" t="s"/>
      <c r="I2165" t="s"/>
      <c r="J2165" t="n">
        <v>-0.296</v>
      </c>
      <c r="K2165" t="n">
        <v>0.145</v>
      </c>
      <c r="L2165" t="n">
        <v>0.855</v>
      </c>
      <c r="M2165" t="n">
        <v>0</v>
      </c>
    </row>
    <row r="2166" spans="1:13">
      <c r="A2166" s="1">
        <f>HYPERLINK("http://www.twitter.com/NathanBLawrence/status/933827646387032064", "933827646387032064")</f>
        <v/>
      </c>
      <c r="B2166" s="2" t="n">
        <v>43062.94484953704</v>
      </c>
      <c r="C2166" t="n">
        <v>0</v>
      </c>
      <c r="D2166" t="n">
        <v>0</v>
      </c>
      <c r="E2166" t="s">
        <v>2175</v>
      </c>
      <c r="F2166" t="s"/>
      <c r="G2166" t="s"/>
      <c r="H2166" t="s"/>
      <c r="I2166" t="s"/>
      <c r="J2166" t="n">
        <v>0.5538</v>
      </c>
      <c r="K2166" t="n">
        <v>0</v>
      </c>
      <c r="L2166" t="n">
        <v>0.583</v>
      </c>
      <c r="M2166" t="n">
        <v>0.417</v>
      </c>
    </row>
    <row r="2167" spans="1:13">
      <c r="A2167" s="1">
        <f>HYPERLINK("http://www.twitter.com/NathanBLawrence/status/933762326184030209", "933762326184030209")</f>
        <v/>
      </c>
      <c r="B2167" s="2" t="n">
        <v>43062.76459490741</v>
      </c>
      <c r="C2167" t="n">
        <v>0</v>
      </c>
      <c r="D2167" t="n">
        <v>0</v>
      </c>
      <c r="E2167" t="s">
        <v>2176</v>
      </c>
      <c r="F2167" t="s"/>
      <c r="G2167" t="s"/>
      <c r="H2167" t="s"/>
      <c r="I2167" t="s"/>
      <c r="J2167" t="n">
        <v>0.1655</v>
      </c>
      <c r="K2167" t="n">
        <v>0</v>
      </c>
      <c r="L2167" t="n">
        <v>0.887</v>
      </c>
      <c r="M2167" t="n">
        <v>0.113</v>
      </c>
    </row>
    <row r="2168" spans="1:13">
      <c r="A2168" s="1">
        <f>HYPERLINK("http://www.twitter.com/NathanBLawrence/status/933321688531521537", "933321688531521537")</f>
        <v/>
      </c>
      <c r="B2168" s="2" t="n">
        <v>43061.54866898148</v>
      </c>
      <c r="C2168" t="n">
        <v>0</v>
      </c>
      <c r="D2168" t="n">
        <v>0</v>
      </c>
      <c r="E2168" t="s">
        <v>2177</v>
      </c>
      <c r="F2168" t="s"/>
      <c r="G2168" t="s"/>
      <c r="H2168" t="s"/>
      <c r="I2168" t="s"/>
      <c r="J2168" t="n">
        <v>0.6407</v>
      </c>
      <c r="K2168" t="n">
        <v>0</v>
      </c>
      <c r="L2168" t="n">
        <v>0.8080000000000001</v>
      </c>
      <c r="M2168" t="n">
        <v>0.192</v>
      </c>
    </row>
    <row r="2169" spans="1:13">
      <c r="A2169" s="1">
        <f>HYPERLINK("http://www.twitter.com/NathanBLawrence/status/933321396490514432", "933321396490514432")</f>
        <v/>
      </c>
      <c r="B2169" s="2" t="n">
        <v>43061.54785879629</v>
      </c>
      <c r="C2169" t="n">
        <v>0</v>
      </c>
      <c r="D2169" t="n">
        <v>0</v>
      </c>
      <c r="E2169" t="s">
        <v>2178</v>
      </c>
      <c r="F2169" t="s"/>
      <c r="G2169" t="s"/>
      <c r="H2169" t="s"/>
      <c r="I2169" t="s"/>
      <c r="J2169" t="n">
        <v>0</v>
      </c>
      <c r="K2169" t="n">
        <v>0</v>
      </c>
      <c r="L2169" t="n">
        <v>1</v>
      </c>
      <c r="M2169" t="n">
        <v>0</v>
      </c>
    </row>
    <row r="2170" spans="1:13">
      <c r="A2170" s="1">
        <f>HYPERLINK("http://www.twitter.com/NathanBLawrence/status/933315003842691072", "933315003842691072")</f>
        <v/>
      </c>
      <c r="B2170" s="2" t="n">
        <v>43061.53021990741</v>
      </c>
      <c r="C2170" t="n">
        <v>1</v>
      </c>
      <c r="D2170" t="n">
        <v>0</v>
      </c>
      <c r="E2170" t="s">
        <v>2179</v>
      </c>
      <c r="F2170" t="s"/>
      <c r="G2170" t="s"/>
      <c r="H2170" t="s"/>
      <c r="I2170" t="s"/>
      <c r="J2170" t="n">
        <v>0</v>
      </c>
      <c r="K2170" t="n">
        <v>0</v>
      </c>
      <c r="L2170" t="n">
        <v>1</v>
      </c>
      <c r="M2170" t="n">
        <v>0</v>
      </c>
    </row>
    <row r="2171" spans="1:13">
      <c r="A2171" s="1">
        <f>HYPERLINK("http://www.twitter.com/NathanBLawrence/status/933183399891582976", "933183399891582976")</f>
        <v/>
      </c>
      <c r="B2171" s="2" t="n">
        <v>43061.16706018519</v>
      </c>
      <c r="C2171" t="n">
        <v>1</v>
      </c>
      <c r="D2171" t="n">
        <v>0</v>
      </c>
      <c r="E2171" t="s">
        <v>2180</v>
      </c>
      <c r="F2171" t="s"/>
      <c r="G2171" t="s"/>
      <c r="H2171" t="s"/>
      <c r="I2171" t="s"/>
      <c r="J2171" t="n">
        <v>0</v>
      </c>
      <c r="K2171" t="n">
        <v>0</v>
      </c>
      <c r="L2171" t="n">
        <v>1</v>
      </c>
      <c r="M2171" t="n">
        <v>0</v>
      </c>
    </row>
    <row r="2172" spans="1:13">
      <c r="A2172" s="1">
        <f>HYPERLINK("http://www.twitter.com/NathanBLawrence/status/933080425102282758", "933080425102282758")</f>
        <v/>
      </c>
      <c r="B2172" s="2" t="n">
        <v>43060.88290509259</v>
      </c>
      <c r="C2172" t="n">
        <v>3</v>
      </c>
      <c r="D2172" t="n">
        <v>1</v>
      </c>
      <c r="E2172" t="s">
        <v>2181</v>
      </c>
      <c r="F2172" t="s"/>
      <c r="G2172" t="s"/>
      <c r="H2172" t="s"/>
      <c r="I2172" t="s"/>
      <c r="J2172" t="n">
        <v>0</v>
      </c>
      <c r="K2172" t="n">
        <v>0</v>
      </c>
      <c r="L2172" t="n">
        <v>1</v>
      </c>
      <c r="M2172" t="n">
        <v>0</v>
      </c>
    </row>
    <row r="2173" spans="1:13">
      <c r="A2173" s="1">
        <f>HYPERLINK("http://www.twitter.com/NathanBLawrence/status/933080174681260032", "933080174681260032")</f>
        <v/>
      </c>
      <c r="B2173" s="2" t="n">
        <v>43060.88222222222</v>
      </c>
      <c r="C2173" t="n">
        <v>0</v>
      </c>
      <c r="D2173" t="n">
        <v>0</v>
      </c>
      <c r="E2173" t="s">
        <v>2182</v>
      </c>
      <c r="F2173" t="s"/>
      <c r="G2173" t="s"/>
      <c r="H2173" t="s"/>
      <c r="I2173" t="s"/>
      <c r="J2173" t="n">
        <v>-0.1531</v>
      </c>
      <c r="K2173" t="n">
        <v>0.131</v>
      </c>
      <c r="L2173" t="n">
        <v>0.774</v>
      </c>
      <c r="M2173" t="n">
        <v>0.095</v>
      </c>
    </row>
    <row r="2174" spans="1:13">
      <c r="A2174" s="1">
        <f>HYPERLINK("http://www.twitter.com/NathanBLawrence/status/933043430485364737", "933043430485364737")</f>
        <v/>
      </c>
      <c r="B2174" s="2" t="n">
        <v>43060.78082175926</v>
      </c>
      <c r="C2174" t="n">
        <v>0</v>
      </c>
      <c r="D2174" t="n">
        <v>0</v>
      </c>
      <c r="E2174" t="s">
        <v>2183</v>
      </c>
      <c r="F2174" t="s"/>
      <c r="G2174" t="s"/>
      <c r="H2174" t="s"/>
      <c r="I2174" t="s"/>
      <c r="J2174" t="n">
        <v>-0.8979</v>
      </c>
      <c r="K2174" t="n">
        <v>0.617</v>
      </c>
      <c r="L2174" t="n">
        <v>0.383</v>
      </c>
      <c r="M2174" t="n">
        <v>0</v>
      </c>
    </row>
    <row r="2175" spans="1:13">
      <c r="A2175" s="1">
        <f>HYPERLINK("http://www.twitter.com/NathanBLawrence/status/933003044375203840", "933003044375203840")</f>
        <v/>
      </c>
      <c r="B2175" s="2" t="n">
        <v>43060.669375</v>
      </c>
      <c r="C2175" t="n">
        <v>1</v>
      </c>
      <c r="D2175" t="n">
        <v>0</v>
      </c>
      <c r="E2175" t="s">
        <v>2184</v>
      </c>
      <c r="F2175" t="s"/>
      <c r="G2175" t="s"/>
      <c r="H2175" t="s"/>
      <c r="I2175" t="s"/>
      <c r="J2175" t="n">
        <v>0</v>
      </c>
      <c r="K2175" t="n">
        <v>0</v>
      </c>
      <c r="L2175" t="n">
        <v>1</v>
      </c>
      <c r="M2175" t="n">
        <v>0</v>
      </c>
    </row>
    <row r="2176" spans="1:13">
      <c r="A2176" s="1">
        <f>HYPERLINK("http://www.twitter.com/NathanBLawrence/status/932998049760243712", "932998049760243712")</f>
        <v/>
      </c>
      <c r="B2176" s="2" t="n">
        <v>43060.65559027778</v>
      </c>
      <c r="C2176" t="n">
        <v>6</v>
      </c>
      <c r="D2176" t="n">
        <v>3</v>
      </c>
      <c r="E2176" t="s">
        <v>2185</v>
      </c>
      <c r="F2176" t="s"/>
      <c r="G2176" t="s"/>
      <c r="H2176" t="s"/>
      <c r="I2176" t="s"/>
      <c r="J2176" t="n">
        <v>-0.1739</v>
      </c>
      <c r="K2176" t="n">
        <v>0.275</v>
      </c>
      <c r="L2176" t="n">
        <v>0.491</v>
      </c>
      <c r="M2176" t="n">
        <v>0.233</v>
      </c>
    </row>
    <row r="2177" spans="1:13">
      <c r="A2177" s="1">
        <f>HYPERLINK("http://www.twitter.com/NathanBLawrence/status/932928693290307584", "932928693290307584")</f>
        <v/>
      </c>
      <c r="B2177" s="2" t="n">
        <v>43060.46421296296</v>
      </c>
      <c r="C2177" t="n">
        <v>2</v>
      </c>
      <c r="D2177" t="n">
        <v>1</v>
      </c>
      <c r="E2177" t="s">
        <v>2186</v>
      </c>
      <c r="F2177" t="s"/>
      <c r="G2177" t="s"/>
      <c r="H2177" t="s"/>
      <c r="I2177" t="s"/>
      <c r="J2177" t="n">
        <v>-0.6597</v>
      </c>
      <c r="K2177" t="n">
        <v>0.329</v>
      </c>
      <c r="L2177" t="n">
        <v>0.671</v>
      </c>
      <c r="M2177" t="n">
        <v>0</v>
      </c>
    </row>
    <row r="2178" spans="1:13">
      <c r="A2178" s="1">
        <f>HYPERLINK("http://www.twitter.com/NathanBLawrence/status/932710059079061504", "932710059079061504")</f>
        <v/>
      </c>
      <c r="B2178" s="2" t="n">
        <v>43059.8608912037</v>
      </c>
      <c r="C2178" t="n">
        <v>5</v>
      </c>
      <c r="D2178" t="n">
        <v>0</v>
      </c>
      <c r="E2178" t="s">
        <v>2187</v>
      </c>
      <c r="F2178" t="s"/>
      <c r="G2178" t="s"/>
      <c r="H2178" t="s"/>
      <c r="I2178" t="s"/>
      <c r="J2178" t="n">
        <v>0</v>
      </c>
      <c r="K2178" t="n">
        <v>0</v>
      </c>
      <c r="L2178" t="n">
        <v>1</v>
      </c>
      <c r="M2178" t="n">
        <v>0</v>
      </c>
    </row>
    <row r="2179" spans="1:13">
      <c r="A2179" s="1">
        <f>HYPERLINK("http://www.twitter.com/NathanBLawrence/status/932709638499381248", "932709638499381248")</f>
        <v/>
      </c>
      <c r="B2179" s="2" t="n">
        <v>43059.85973379629</v>
      </c>
      <c r="C2179" t="n">
        <v>2</v>
      </c>
      <c r="D2179" t="n">
        <v>1</v>
      </c>
      <c r="E2179" t="s">
        <v>2188</v>
      </c>
      <c r="F2179" t="s"/>
      <c r="G2179" t="s"/>
      <c r="H2179" t="s"/>
      <c r="I2179" t="s"/>
      <c r="J2179" t="n">
        <v>-0.4585</v>
      </c>
      <c r="K2179" t="n">
        <v>0.2</v>
      </c>
      <c r="L2179" t="n">
        <v>0.8</v>
      </c>
      <c r="M2179" t="n">
        <v>0</v>
      </c>
    </row>
    <row r="2180" spans="1:13">
      <c r="A2180" s="1">
        <f>HYPERLINK("http://www.twitter.com/NathanBLawrence/status/932703964054937600", "932703964054937600")</f>
        <v/>
      </c>
      <c r="B2180" s="2" t="n">
        <v>43059.84407407408</v>
      </c>
      <c r="C2180" t="n">
        <v>0</v>
      </c>
      <c r="D2180" t="n">
        <v>1</v>
      </c>
      <c r="E2180" t="s">
        <v>2189</v>
      </c>
      <c r="F2180" t="s"/>
      <c r="G2180" t="s"/>
      <c r="H2180" t="s"/>
      <c r="I2180" t="s"/>
      <c r="J2180" t="n">
        <v>0</v>
      </c>
      <c r="K2180" t="n">
        <v>0</v>
      </c>
      <c r="L2180" t="n">
        <v>1</v>
      </c>
      <c r="M2180" t="n">
        <v>0</v>
      </c>
    </row>
    <row r="2181" spans="1:13">
      <c r="A2181" s="1">
        <f>HYPERLINK("http://www.twitter.com/NathanBLawrence/status/932613585833951232", "932613585833951232")</f>
        <v/>
      </c>
      <c r="B2181" s="2" t="n">
        <v>43059.59467592592</v>
      </c>
      <c r="C2181" t="n">
        <v>0</v>
      </c>
      <c r="D2181" t="n">
        <v>13484</v>
      </c>
      <c r="E2181" t="s">
        <v>2190</v>
      </c>
      <c r="F2181" t="s"/>
      <c r="G2181" t="s"/>
      <c r="H2181" t="s"/>
      <c r="I2181" t="s"/>
      <c r="J2181" t="n">
        <v>-0.296</v>
      </c>
      <c r="K2181" t="n">
        <v>0.109</v>
      </c>
      <c r="L2181" t="n">
        <v>0.891</v>
      </c>
      <c r="M2181" t="n">
        <v>0</v>
      </c>
    </row>
    <row r="2182" spans="1:13">
      <c r="A2182" s="1">
        <f>HYPERLINK("http://www.twitter.com/NathanBLawrence/status/932612066438991874", "932612066438991874")</f>
        <v/>
      </c>
      <c r="B2182" s="2" t="n">
        <v>43059.59048611111</v>
      </c>
      <c r="C2182" t="n">
        <v>0</v>
      </c>
      <c r="D2182" t="n">
        <v>2</v>
      </c>
      <c r="E2182" t="s">
        <v>2191</v>
      </c>
      <c r="F2182" t="s"/>
      <c r="G2182" t="s"/>
      <c r="H2182" t="s"/>
      <c r="I2182" t="s"/>
      <c r="J2182" t="n">
        <v>-0.5106000000000001</v>
      </c>
      <c r="K2182" t="n">
        <v>0.155</v>
      </c>
      <c r="L2182" t="n">
        <v>0.845</v>
      </c>
      <c r="M2182" t="n">
        <v>0</v>
      </c>
    </row>
    <row r="2183" spans="1:13">
      <c r="A2183" s="1">
        <f>HYPERLINK("http://www.twitter.com/NathanBLawrence/status/932452296205701120", "932452296205701120")</f>
        <v/>
      </c>
      <c r="B2183" s="2" t="n">
        <v>43059.14960648148</v>
      </c>
      <c r="C2183" t="n">
        <v>0</v>
      </c>
      <c r="D2183" t="n">
        <v>0</v>
      </c>
      <c r="E2183" t="s">
        <v>2192</v>
      </c>
      <c r="F2183" t="s"/>
      <c r="G2183" t="s"/>
      <c r="H2183" t="s"/>
      <c r="I2183" t="s"/>
      <c r="J2183" t="n">
        <v>0.5719</v>
      </c>
      <c r="K2183" t="n">
        <v>0</v>
      </c>
      <c r="L2183" t="n">
        <v>0.619</v>
      </c>
      <c r="M2183" t="n">
        <v>0.381</v>
      </c>
    </row>
    <row r="2184" spans="1:13">
      <c r="A2184" s="1">
        <f>HYPERLINK("http://www.twitter.com/NathanBLawrence/status/932450930993266688", "932450930993266688")</f>
        <v/>
      </c>
      <c r="B2184" s="2" t="n">
        <v>43059.14583333334</v>
      </c>
      <c r="C2184" t="n">
        <v>0</v>
      </c>
      <c r="D2184" t="n">
        <v>0</v>
      </c>
      <c r="E2184" t="s">
        <v>2193</v>
      </c>
      <c r="F2184" t="s"/>
      <c r="G2184" t="s"/>
      <c r="H2184" t="s"/>
      <c r="I2184" t="s"/>
      <c r="J2184" t="n">
        <v>-0.5661</v>
      </c>
      <c r="K2184" t="n">
        <v>0.343</v>
      </c>
      <c r="L2184" t="n">
        <v>0.657</v>
      </c>
      <c r="M2184" t="n">
        <v>0</v>
      </c>
    </row>
    <row r="2185" spans="1:13">
      <c r="A2185" s="1">
        <f>HYPERLINK("http://www.twitter.com/NathanBLawrence/status/932450325985939457", "932450325985939457")</f>
        <v/>
      </c>
      <c r="B2185" s="2" t="n">
        <v>43059.14416666667</v>
      </c>
      <c r="C2185" t="n">
        <v>1</v>
      </c>
      <c r="D2185" t="n">
        <v>0</v>
      </c>
      <c r="E2185" t="s">
        <v>2194</v>
      </c>
      <c r="F2185" t="s"/>
      <c r="G2185" t="s"/>
      <c r="H2185" t="s"/>
      <c r="I2185" t="s"/>
      <c r="J2185" t="n">
        <v>-0.5994</v>
      </c>
      <c r="K2185" t="n">
        <v>0.38</v>
      </c>
      <c r="L2185" t="n">
        <v>0.62</v>
      </c>
      <c r="M2185" t="n">
        <v>0</v>
      </c>
    </row>
    <row r="2186" spans="1:13">
      <c r="A2186" s="1">
        <f>HYPERLINK("http://www.twitter.com/NathanBLawrence/status/932446808038694912", "932446808038694912")</f>
        <v/>
      </c>
      <c r="B2186" s="2" t="n">
        <v>43059.13445601852</v>
      </c>
      <c r="C2186" t="n">
        <v>0</v>
      </c>
      <c r="D2186" t="n">
        <v>0</v>
      </c>
      <c r="E2186" t="s">
        <v>2195</v>
      </c>
      <c r="F2186" t="s"/>
      <c r="G2186" t="s"/>
      <c r="H2186" t="s"/>
      <c r="I2186" t="s"/>
      <c r="J2186" t="n">
        <v>0.2716</v>
      </c>
      <c r="K2186" t="n">
        <v>0</v>
      </c>
      <c r="L2186" t="n">
        <v>0.77</v>
      </c>
      <c r="M2186" t="n">
        <v>0.23</v>
      </c>
    </row>
    <row r="2187" spans="1:13">
      <c r="A2187" s="1">
        <f>HYPERLINK("http://www.twitter.com/NathanBLawrence/status/932439738375602177", "932439738375602177")</f>
        <v/>
      </c>
      <c r="B2187" s="2" t="n">
        <v>43059.11495370371</v>
      </c>
      <c r="C2187" t="n">
        <v>0</v>
      </c>
      <c r="D2187" t="n">
        <v>0</v>
      </c>
      <c r="E2187" t="s">
        <v>2196</v>
      </c>
      <c r="F2187" t="s"/>
      <c r="G2187" t="s"/>
      <c r="H2187" t="s"/>
      <c r="I2187" t="s"/>
      <c r="J2187" t="n">
        <v>0</v>
      </c>
      <c r="K2187" t="n">
        <v>0</v>
      </c>
      <c r="L2187" t="n">
        <v>1</v>
      </c>
      <c r="M2187" t="n">
        <v>0</v>
      </c>
    </row>
    <row r="2188" spans="1:13">
      <c r="A2188" s="1">
        <f>HYPERLINK("http://www.twitter.com/NathanBLawrence/status/931954118532399105", "931954118532399105")</f>
        <v/>
      </c>
      <c r="B2188" s="2" t="n">
        <v>43057.77489583333</v>
      </c>
      <c r="C2188" t="n">
        <v>1</v>
      </c>
      <c r="D2188" t="n">
        <v>0</v>
      </c>
      <c r="E2188" t="s">
        <v>2197</v>
      </c>
      <c r="F2188" t="s"/>
      <c r="G2188" t="s"/>
      <c r="H2188" t="s"/>
      <c r="I2188" t="s"/>
      <c r="J2188" t="n">
        <v>0</v>
      </c>
      <c r="K2188" t="n">
        <v>0</v>
      </c>
      <c r="L2188" t="n">
        <v>1</v>
      </c>
      <c r="M2188" t="n">
        <v>0</v>
      </c>
    </row>
    <row r="2189" spans="1:13">
      <c r="A2189" s="1">
        <f>HYPERLINK("http://www.twitter.com/NathanBLawrence/status/931947349403893760", "931947349403893760")</f>
        <v/>
      </c>
      <c r="B2189" s="2" t="n">
        <v>43057.75621527778</v>
      </c>
      <c r="C2189" t="n">
        <v>0</v>
      </c>
      <c r="D2189" t="n">
        <v>15953</v>
      </c>
      <c r="E2189" t="s">
        <v>2198</v>
      </c>
      <c r="F2189" t="s"/>
      <c r="G2189" t="s"/>
      <c r="H2189" t="s"/>
      <c r="I2189" t="s"/>
      <c r="J2189" t="n">
        <v>0.6369</v>
      </c>
      <c r="K2189" t="n">
        <v>0</v>
      </c>
      <c r="L2189" t="n">
        <v>0.8110000000000001</v>
      </c>
      <c r="M2189" t="n">
        <v>0.189</v>
      </c>
    </row>
    <row r="2190" spans="1:13">
      <c r="A2190" s="1">
        <f>HYPERLINK("http://www.twitter.com/NathanBLawrence/status/931690265106055168", "931690265106055168")</f>
        <v/>
      </c>
      <c r="B2190" s="2" t="n">
        <v>43057.04679398148</v>
      </c>
      <c r="C2190" t="n">
        <v>2</v>
      </c>
      <c r="D2190" t="n">
        <v>0</v>
      </c>
      <c r="E2190" t="s">
        <v>2199</v>
      </c>
      <c r="F2190" t="s"/>
      <c r="G2190" t="s"/>
      <c r="H2190" t="s"/>
      <c r="I2190" t="s"/>
      <c r="J2190" t="n">
        <v>0.8462</v>
      </c>
      <c r="K2190" t="n">
        <v>0</v>
      </c>
      <c r="L2190" t="n">
        <v>0.754</v>
      </c>
      <c r="M2190" t="n">
        <v>0.246</v>
      </c>
    </row>
    <row r="2191" spans="1:13">
      <c r="A2191" s="1">
        <f>HYPERLINK("http://www.twitter.com/NathanBLawrence/status/931689496692842496", "931689496692842496")</f>
        <v/>
      </c>
      <c r="B2191" s="2" t="n">
        <v>43057.04467592593</v>
      </c>
      <c r="C2191" t="n">
        <v>0</v>
      </c>
      <c r="D2191" t="n">
        <v>0</v>
      </c>
      <c r="E2191" t="s">
        <v>2200</v>
      </c>
      <c r="F2191" t="s"/>
      <c r="G2191" t="s"/>
      <c r="H2191" t="s"/>
      <c r="I2191" t="s"/>
      <c r="J2191" t="n">
        <v>0</v>
      </c>
      <c r="K2191" t="n">
        <v>0</v>
      </c>
      <c r="L2191" t="n">
        <v>1</v>
      </c>
      <c r="M2191" t="n">
        <v>0</v>
      </c>
    </row>
    <row r="2192" spans="1:13">
      <c r="A2192" s="1">
        <f>HYPERLINK("http://www.twitter.com/NathanBLawrence/status/931688466710237184", "931688466710237184")</f>
        <v/>
      </c>
      <c r="B2192" s="2" t="n">
        <v>43057.04184027778</v>
      </c>
      <c r="C2192" t="n">
        <v>0</v>
      </c>
      <c r="D2192" t="n">
        <v>0</v>
      </c>
      <c r="E2192" t="s">
        <v>2201</v>
      </c>
      <c r="F2192" t="s"/>
      <c r="G2192" t="s"/>
      <c r="H2192" t="s"/>
      <c r="I2192" t="s"/>
      <c r="J2192" t="n">
        <v>0</v>
      </c>
      <c r="K2192" t="n">
        <v>0</v>
      </c>
      <c r="L2192" t="n">
        <v>1</v>
      </c>
      <c r="M2192" t="n">
        <v>0</v>
      </c>
    </row>
    <row r="2193" spans="1:13">
      <c r="A2193" s="1">
        <f>HYPERLINK("http://www.twitter.com/NathanBLawrence/status/931512846252494850", "931512846252494850")</f>
        <v/>
      </c>
      <c r="B2193" s="2" t="n">
        <v>43056.55721064815</v>
      </c>
      <c r="C2193" t="n">
        <v>10</v>
      </c>
      <c r="D2193" t="n">
        <v>12</v>
      </c>
      <c r="E2193" t="s">
        <v>2202</v>
      </c>
      <c r="F2193" t="s"/>
      <c r="G2193" t="s"/>
      <c r="H2193" t="s"/>
      <c r="I2193" t="s"/>
      <c r="J2193" t="n">
        <v>0.4199</v>
      </c>
      <c r="K2193" t="n">
        <v>0</v>
      </c>
      <c r="L2193" t="n">
        <v>0.589</v>
      </c>
      <c r="M2193" t="n">
        <v>0.411</v>
      </c>
    </row>
    <row r="2194" spans="1:13">
      <c r="A2194" s="1">
        <f>HYPERLINK("http://www.twitter.com/NathanBLawrence/status/931507617419202560", "931507617419202560")</f>
        <v/>
      </c>
      <c r="B2194" s="2" t="n">
        <v>43056.54278935185</v>
      </c>
      <c r="C2194" t="n">
        <v>0</v>
      </c>
      <c r="D2194" t="n">
        <v>0</v>
      </c>
      <c r="E2194" t="s">
        <v>2203</v>
      </c>
      <c r="F2194" t="s"/>
      <c r="G2194" t="s"/>
      <c r="H2194" t="s"/>
      <c r="I2194" t="s"/>
      <c r="J2194" t="n">
        <v>0.3612</v>
      </c>
      <c r="K2194" t="n">
        <v>0</v>
      </c>
      <c r="L2194" t="n">
        <v>0.762</v>
      </c>
      <c r="M2194" t="n">
        <v>0.238</v>
      </c>
    </row>
    <row r="2195" spans="1:13">
      <c r="A2195" s="1">
        <f>HYPERLINK("http://www.twitter.com/NathanBLawrence/status/931381659425034242", "931381659425034242")</f>
        <v/>
      </c>
      <c r="B2195" s="2" t="n">
        <v>43056.19520833333</v>
      </c>
      <c r="C2195" t="n">
        <v>0</v>
      </c>
      <c r="D2195" t="n">
        <v>1283</v>
      </c>
      <c r="E2195" t="s">
        <v>2204</v>
      </c>
      <c r="F2195" t="s"/>
      <c r="G2195" t="s"/>
      <c r="H2195" t="s"/>
      <c r="I2195" t="s"/>
      <c r="J2195" t="n">
        <v>0</v>
      </c>
      <c r="K2195" t="n">
        <v>0</v>
      </c>
      <c r="L2195" t="n">
        <v>1</v>
      </c>
      <c r="M2195" t="n">
        <v>0</v>
      </c>
    </row>
    <row r="2196" spans="1:13">
      <c r="A2196" s="1">
        <f>HYPERLINK("http://www.twitter.com/NathanBLawrence/status/931381003033153536", "931381003033153536")</f>
        <v/>
      </c>
      <c r="B2196" s="2" t="n">
        <v>43056.19340277778</v>
      </c>
      <c r="C2196" t="n">
        <v>0</v>
      </c>
      <c r="D2196" t="n">
        <v>48</v>
      </c>
      <c r="E2196" t="s">
        <v>2205</v>
      </c>
      <c r="F2196" t="s"/>
      <c r="G2196" t="s"/>
      <c r="H2196" t="s"/>
      <c r="I2196" t="s"/>
      <c r="J2196" t="n">
        <v>-0.6369</v>
      </c>
      <c r="K2196" t="n">
        <v>0.243</v>
      </c>
      <c r="L2196" t="n">
        <v>0.672</v>
      </c>
      <c r="M2196" t="n">
        <v>0.08599999999999999</v>
      </c>
    </row>
    <row r="2197" spans="1:13">
      <c r="A2197" s="1">
        <f>HYPERLINK("http://www.twitter.com/NathanBLawrence/status/931363518347141121", "931363518347141121")</f>
        <v/>
      </c>
      <c r="B2197" s="2" t="n">
        <v>43056.14515046297</v>
      </c>
      <c r="C2197" t="n">
        <v>4</v>
      </c>
      <c r="D2197" t="n">
        <v>4</v>
      </c>
      <c r="E2197" t="s">
        <v>2206</v>
      </c>
      <c r="F2197" t="s"/>
      <c r="G2197" t="s"/>
      <c r="H2197" t="s"/>
      <c r="I2197" t="s"/>
      <c r="J2197" t="n">
        <v>-0.34</v>
      </c>
      <c r="K2197" t="n">
        <v>0.138</v>
      </c>
      <c r="L2197" t="n">
        <v>0.862</v>
      </c>
      <c r="M2197" t="n">
        <v>0</v>
      </c>
    </row>
    <row r="2198" spans="1:13">
      <c r="A2198" s="1">
        <f>HYPERLINK("http://www.twitter.com/NathanBLawrence/status/931359142366859264", "931359142366859264")</f>
        <v/>
      </c>
      <c r="B2198" s="2" t="n">
        <v>43056.1330787037</v>
      </c>
      <c r="C2198" t="n">
        <v>0</v>
      </c>
      <c r="D2198" t="n">
        <v>0</v>
      </c>
      <c r="E2198" t="s">
        <v>2207</v>
      </c>
      <c r="F2198" t="s"/>
      <c r="G2198" t="s"/>
      <c r="H2198" t="s"/>
      <c r="I2198" t="s"/>
      <c r="J2198" t="n">
        <v>0.3182</v>
      </c>
      <c r="K2198" t="n">
        <v>0</v>
      </c>
      <c r="L2198" t="n">
        <v>0.827</v>
      </c>
      <c r="M2198" t="n">
        <v>0.173</v>
      </c>
    </row>
    <row r="2199" spans="1:13">
      <c r="A2199" s="1">
        <f>HYPERLINK("http://www.twitter.com/NathanBLawrence/status/931351000622956544", "931351000622956544")</f>
        <v/>
      </c>
      <c r="B2199" s="2" t="n">
        <v>43056.11060185185</v>
      </c>
      <c r="C2199" t="n">
        <v>1</v>
      </c>
      <c r="D2199" t="n">
        <v>0</v>
      </c>
      <c r="E2199" t="s">
        <v>2208</v>
      </c>
      <c r="F2199" t="s"/>
      <c r="G2199" t="s"/>
      <c r="H2199" t="s"/>
      <c r="I2199" t="s"/>
      <c r="J2199" t="n">
        <v>0</v>
      </c>
      <c r="K2199" t="n">
        <v>0</v>
      </c>
      <c r="L2199" t="n">
        <v>1</v>
      </c>
      <c r="M2199" t="n">
        <v>0</v>
      </c>
    </row>
    <row r="2200" spans="1:13">
      <c r="A2200" s="1">
        <f>HYPERLINK("http://www.twitter.com/NathanBLawrence/status/931349302923931648", "931349302923931648")</f>
        <v/>
      </c>
      <c r="B2200" s="2" t="n">
        <v>43056.10592592593</v>
      </c>
      <c r="C2200" t="n">
        <v>2</v>
      </c>
      <c r="D2200" t="n">
        <v>0</v>
      </c>
      <c r="E2200" t="s">
        <v>2209</v>
      </c>
      <c r="F2200" t="s"/>
      <c r="G2200" t="s"/>
      <c r="H2200" t="s"/>
      <c r="I2200" t="s"/>
      <c r="J2200" t="n">
        <v>0.6884</v>
      </c>
      <c r="K2200" t="n">
        <v>0</v>
      </c>
      <c r="L2200" t="n">
        <v>0.6</v>
      </c>
      <c r="M2200" t="n">
        <v>0.4</v>
      </c>
    </row>
    <row r="2201" spans="1:13">
      <c r="A2201" s="1">
        <f>HYPERLINK("http://www.twitter.com/NathanBLawrence/status/931336760365338624", "931336760365338624")</f>
        <v/>
      </c>
      <c r="B2201" s="2" t="n">
        <v>43056.07130787037</v>
      </c>
      <c r="C2201" t="n">
        <v>1</v>
      </c>
      <c r="D2201" t="n">
        <v>0</v>
      </c>
      <c r="E2201" t="s">
        <v>2210</v>
      </c>
      <c r="F2201" t="s"/>
      <c r="G2201" t="s"/>
      <c r="H2201" t="s"/>
      <c r="I2201" t="s"/>
      <c r="J2201" t="n">
        <v>0</v>
      </c>
      <c r="K2201" t="n">
        <v>0</v>
      </c>
      <c r="L2201" t="n">
        <v>1</v>
      </c>
      <c r="M2201" t="n">
        <v>0</v>
      </c>
    </row>
    <row r="2202" spans="1:13">
      <c r="A2202" s="1">
        <f>HYPERLINK("http://www.twitter.com/NathanBLawrence/status/931336408672940032", "931336408672940032")</f>
        <v/>
      </c>
      <c r="B2202" s="2" t="n">
        <v>43056.07033564815</v>
      </c>
      <c r="C2202" t="n">
        <v>5</v>
      </c>
      <c r="D2202" t="n">
        <v>2</v>
      </c>
      <c r="E2202" t="s">
        <v>2211</v>
      </c>
      <c r="F2202" t="s"/>
      <c r="G2202" t="s"/>
      <c r="H2202" t="s"/>
      <c r="I2202" t="s"/>
      <c r="J2202" t="n">
        <v>0</v>
      </c>
      <c r="K2202" t="n">
        <v>0</v>
      </c>
      <c r="L2202" t="n">
        <v>1</v>
      </c>
      <c r="M2202" t="n">
        <v>0</v>
      </c>
    </row>
    <row r="2203" spans="1:13">
      <c r="A2203" s="1">
        <f>HYPERLINK("http://www.twitter.com/NathanBLawrence/status/931332490903425024", "931332490903425024")</f>
        <v/>
      </c>
      <c r="B2203" s="2" t="n">
        <v>43056.05952546297</v>
      </c>
      <c r="C2203" t="n">
        <v>0</v>
      </c>
      <c r="D2203" t="n">
        <v>0</v>
      </c>
      <c r="E2203" t="s">
        <v>2212</v>
      </c>
      <c r="F2203" t="s"/>
      <c r="G2203" t="s"/>
      <c r="H2203" t="s"/>
      <c r="I2203" t="s"/>
      <c r="J2203" t="n">
        <v>0.4329</v>
      </c>
      <c r="K2203" t="n">
        <v>0</v>
      </c>
      <c r="L2203" t="n">
        <v>0.737</v>
      </c>
      <c r="M2203" t="n">
        <v>0.263</v>
      </c>
    </row>
    <row r="2204" spans="1:13">
      <c r="A2204" s="1">
        <f>HYPERLINK("http://www.twitter.com/NathanBLawrence/status/931332160060923905", "931332160060923905")</f>
        <v/>
      </c>
      <c r="B2204" s="2" t="n">
        <v>43056.05861111111</v>
      </c>
      <c r="C2204" t="n">
        <v>1</v>
      </c>
      <c r="D2204" t="n">
        <v>0</v>
      </c>
      <c r="E2204" t="s">
        <v>2213</v>
      </c>
      <c r="F2204" t="s"/>
      <c r="G2204" t="s"/>
      <c r="H2204" t="s"/>
      <c r="I2204" t="s"/>
      <c r="J2204" t="n">
        <v>0</v>
      </c>
      <c r="K2204" t="n">
        <v>0</v>
      </c>
      <c r="L2204" t="n">
        <v>1</v>
      </c>
      <c r="M2204" t="n">
        <v>0</v>
      </c>
    </row>
    <row r="2205" spans="1:13">
      <c r="A2205" s="1">
        <f>HYPERLINK("http://www.twitter.com/NathanBLawrence/status/931315860924452864", "931315860924452864")</f>
        <v/>
      </c>
      <c r="B2205" s="2" t="n">
        <v>43056.01363425926</v>
      </c>
      <c r="C2205" t="n">
        <v>0</v>
      </c>
      <c r="D2205" t="n">
        <v>0</v>
      </c>
      <c r="E2205" t="s">
        <v>2214</v>
      </c>
      <c r="F2205" t="s"/>
      <c r="G2205" t="s"/>
      <c r="H2205" t="s"/>
      <c r="I2205" t="s"/>
      <c r="J2205" t="n">
        <v>0.3818</v>
      </c>
      <c r="K2205" t="n">
        <v>0</v>
      </c>
      <c r="L2205" t="n">
        <v>0.852</v>
      </c>
      <c r="M2205" t="n">
        <v>0.148</v>
      </c>
    </row>
    <row r="2206" spans="1:13">
      <c r="A2206" s="1">
        <f>HYPERLINK("http://www.twitter.com/NathanBLawrence/status/931315297528803331", "931315297528803331")</f>
        <v/>
      </c>
      <c r="B2206" s="2" t="n">
        <v>43056.01208333333</v>
      </c>
      <c r="C2206" t="n">
        <v>0</v>
      </c>
      <c r="D2206" t="n">
        <v>0</v>
      </c>
      <c r="E2206" t="s">
        <v>2215</v>
      </c>
      <c r="F2206" t="s"/>
      <c r="G2206" t="s"/>
      <c r="H2206" t="s"/>
      <c r="I2206" t="s"/>
      <c r="J2206" t="n">
        <v>0.4754</v>
      </c>
      <c r="K2206" t="n">
        <v>0</v>
      </c>
      <c r="L2206" t="n">
        <v>0.66</v>
      </c>
      <c r="M2206" t="n">
        <v>0.34</v>
      </c>
    </row>
    <row r="2207" spans="1:13">
      <c r="A2207" s="1">
        <f>HYPERLINK("http://www.twitter.com/NathanBLawrence/status/931311828197609473", "931311828197609473")</f>
        <v/>
      </c>
      <c r="B2207" s="2" t="n">
        <v>43056.00251157407</v>
      </c>
      <c r="C2207" t="n">
        <v>0</v>
      </c>
      <c r="D2207" t="n">
        <v>0</v>
      </c>
      <c r="E2207" t="s">
        <v>2216</v>
      </c>
      <c r="F2207" t="s"/>
      <c r="G2207" t="s"/>
      <c r="H2207" t="s"/>
      <c r="I2207" t="s"/>
      <c r="J2207" t="n">
        <v>0.5859</v>
      </c>
      <c r="K2207" t="n">
        <v>0</v>
      </c>
      <c r="L2207" t="n">
        <v>0.441</v>
      </c>
      <c r="M2207" t="n">
        <v>0.5590000000000001</v>
      </c>
    </row>
    <row r="2208" spans="1:13">
      <c r="A2208" s="1">
        <f>HYPERLINK("http://www.twitter.com/NathanBLawrence/status/931310393116516352", "931310393116516352")</f>
        <v/>
      </c>
      <c r="B2208" s="2" t="n">
        <v>43055.99855324074</v>
      </c>
      <c r="C2208" t="n">
        <v>0</v>
      </c>
      <c r="D2208" t="n">
        <v>0</v>
      </c>
      <c r="E2208" t="s">
        <v>2217</v>
      </c>
      <c r="F2208" t="s"/>
      <c r="G2208" t="s"/>
      <c r="H2208" t="s"/>
      <c r="I2208" t="s"/>
      <c r="J2208" t="n">
        <v>0.6249</v>
      </c>
      <c r="K2208" t="n">
        <v>0.074</v>
      </c>
      <c r="L2208" t="n">
        <v>0.678</v>
      </c>
      <c r="M2208" t="n">
        <v>0.248</v>
      </c>
    </row>
    <row r="2209" spans="1:13">
      <c r="A2209" s="1">
        <f>HYPERLINK("http://www.twitter.com/NathanBLawrence/status/931306742692098049", "931306742692098049")</f>
        <v/>
      </c>
      <c r="B2209" s="2" t="n">
        <v>43055.98847222222</v>
      </c>
      <c r="C2209" t="n">
        <v>0</v>
      </c>
      <c r="D2209" t="n">
        <v>0</v>
      </c>
      <c r="E2209" t="s">
        <v>2218</v>
      </c>
      <c r="F2209" t="s"/>
      <c r="G2209" t="s"/>
      <c r="H2209" t="s"/>
      <c r="I2209" t="s"/>
      <c r="J2209" t="n">
        <v>0</v>
      </c>
      <c r="K2209" t="n">
        <v>0</v>
      </c>
      <c r="L2209" t="n">
        <v>1</v>
      </c>
      <c r="M2209" t="n">
        <v>0</v>
      </c>
    </row>
    <row r="2210" spans="1:13">
      <c r="A2210" s="1">
        <f>HYPERLINK("http://www.twitter.com/NathanBLawrence/status/931279096126066689", "931279096126066689")</f>
        <v/>
      </c>
      <c r="B2210" s="2" t="n">
        <v>43055.9121875</v>
      </c>
      <c r="C2210" t="n">
        <v>0</v>
      </c>
      <c r="D2210" t="n">
        <v>0</v>
      </c>
      <c r="E2210" t="s">
        <v>2219</v>
      </c>
      <c r="F2210" t="s"/>
      <c r="G2210" t="s"/>
      <c r="H2210" t="s"/>
      <c r="I2210" t="s"/>
      <c r="J2210" t="n">
        <v>0</v>
      </c>
      <c r="K2210" t="n">
        <v>0</v>
      </c>
      <c r="L2210" t="n">
        <v>1</v>
      </c>
      <c r="M2210" t="n">
        <v>0</v>
      </c>
    </row>
    <row r="2211" spans="1:13">
      <c r="A2211" s="1">
        <f>HYPERLINK("http://www.twitter.com/NathanBLawrence/status/931269243324203008", "931269243324203008")</f>
        <v/>
      </c>
      <c r="B2211" s="2" t="n">
        <v>43055.885</v>
      </c>
      <c r="C2211" t="n">
        <v>0</v>
      </c>
      <c r="D2211" t="n">
        <v>0</v>
      </c>
      <c r="E2211" t="s">
        <v>2220</v>
      </c>
      <c r="F2211" t="s"/>
      <c r="G2211" t="s"/>
      <c r="H2211" t="s"/>
      <c r="I2211" t="s"/>
      <c r="J2211" t="n">
        <v>0.3544</v>
      </c>
      <c r="K2211" t="n">
        <v>0.11</v>
      </c>
      <c r="L2211" t="n">
        <v>0.71</v>
      </c>
      <c r="M2211" t="n">
        <v>0.18</v>
      </c>
    </row>
    <row r="2212" spans="1:13">
      <c r="A2212" s="1">
        <f>HYPERLINK("http://www.twitter.com/NathanBLawrence/status/931259263745445888", "931259263745445888")</f>
        <v/>
      </c>
      <c r="B2212" s="2" t="n">
        <v>43055.85746527778</v>
      </c>
      <c r="C2212" t="n">
        <v>0</v>
      </c>
      <c r="D2212" t="n">
        <v>105</v>
      </c>
      <c r="E2212" t="s">
        <v>2221</v>
      </c>
      <c r="F2212" t="s"/>
      <c r="G2212" t="s"/>
      <c r="H2212" t="s"/>
      <c r="I2212" t="s"/>
      <c r="J2212" t="n">
        <v>-0.5266999999999999</v>
      </c>
      <c r="K2212" t="n">
        <v>0.139</v>
      </c>
      <c r="L2212" t="n">
        <v>0.861</v>
      </c>
      <c r="M2212" t="n">
        <v>0</v>
      </c>
    </row>
    <row r="2213" spans="1:13">
      <c r="A2213" s="1">
        <f>HYPERLINK("http://www.twitter.com/NathanBLawrence/status/931251978482708480", "931251978482708480")</f>
        <v/>
      </c>
      <c r="B2213" s="2" t="n">
        <v>43055.83736111111</v>
      </c>
      <c r="C2213" t="n">
        <v>0</v>
      </c>
      <c r="D2213" t="n">
        <v>0</v>
      </c>
      <c r="E2213" t="s">
        <v>2222</v>
      </c>
      <c r="F2213" t="s"/>
      <c r="G2213" t="s"/>
      <c r="H2213" t="s"/>
      <c r="I2213" t="s"/>
      <c r="J2213" t="n">
        <v>0.7003</v>
      </c>
      <c r="K2213" t="n">
        <v>0</v>
      </c>
      <c r="L2213" t="n">
        <v>0.721</v>
      </c>
      <c r="M2213" t="n">
        <v>0.279</v>
      </c>
    </row>
    <row r="2214" spans="1:13">
      <c r="A2214" s="1">
        <f>HYPERLINK("http://www.twitter.com/NathanBLawrence/status/931250991453712384", "931250991453712384")</f>
        <v/>
      </c>
      <c r="B2214" s="2" t="n">
        <v>43055.83462962963</v>
      </c>
      <c r="C2214" t="n">
        <v>5</v>
      </c>
      <c r="D2214" t="n">
        <v>2</v>
      </c>
      <c r="E2214" t="s">
        <v>2223</v>
      </c>
      <c r="F2214" t="s"/>
      <c r="G2214" t="s"/>
      <c r="H2214" t="s"/>
      <c r="I2214" t="s"/>
      <c r="J2214" t="n">
        <v>-0.4939</v>
      </c>
      <c r="K2214" t="n">
        <v>0.198</v>
      </c>
      <c r="L2214" t="n">
        <v>0.802</v>
      </c>
      <c r="M2214" t="n">
        <v>0</v>
      </c>
    </row>
    <row r="2215" spans="1:13">
      <c r="A2215" s="1">
        <f>HYPERLINK("http://www.twitter.com/NathanBLawrence/status/931248240636424192", "931248240636424192")</f>
        <v/>
      </c>
      <c r="B2215" s="2" t="n">
        <v>43055.82703703704</v>
      </c>
      <c r="C2215" t="n">
        <v>0</v>
      </c>
      <c r="D2215" t="n">
        <v>0</v>
      </c>
      <c r="E2215" t="s">
        <v>2224</v>
      </c>
      <c r="F2215" t="s"/>
      <c r="G2215" t="s"/>
      <c r="H2215" t="s"/>
      <c r="I2215" t="s"/>
      <c r="J2215" t="n">
        <v>0</v>
      </c>
      <c r="K2215" t="n">
        <v>0</v>
      </c>
      <c r="L2215" t="n">
        <v>1</v>
      </c>
      <c r="M2215" t="n">
        <v>0</v>
      </c>
    </row>
    <row r="2216" spans="1:13">
      <c r="A2216" s="1">
        <f>HYPERLINK("http://www.twitter.com/NathanBLawrence/status/930980498666606593", "930980498666606593")</f>
        <v/>
      </c>
      <c r="B2216" s="2" t="n">
        <v>43055.08821759259</v>
      </c>
      <c r="C2216" t="n">
        <v>0</v>
      </c>
      <c r="D2216" t="n">
        <v>4</v>
      </c>
      <c r="E2216" t="s">
        <v>2225</v>
      </c>
      <c r="F2216" t="s"/>
      <c r="G2216" t="s"/>
      <c r="H2216" t="s"/>
      <c r="I2216" t="s"/>
      <c r="J2216" t="n">
        <v>-0.34</v>
      </c>
      <c r="K2216" t="n">
        <v>0.167</v>
      </c>
      <c r="L2216" t="n">
        <v>0.833</v>
      </c>
      <c r="M2216" t="n">
        <v>0</v>
      </c>
    </row>
    <row r="2217" spans="1:13">
      <c r="A2217" s="1">
        <f>HYPERLINK("http://www.twitter.com/NathanBLawrence/status/930909463023968256", "930909463023968256")</f>
        <v/>
      </c>
      <c r="B2217" s="2" t="n">
        <v>43054.89219907407</v>
      </c>
      <c r="C2217" t="n">
        <v>5</v>
      </c>
      <c r="D2217" t="n">
        <v>2</v>
      </c>
      <c r="E2217" t="s">
        <v>2226</v>
      </c>
      <c r="F2217" t="s"/>
      <c r="G2217" t="s"/>
      <c r="H2217" t="s"/>
      <c r="I2217" t="s"/>
      <c r="J2217" t="n">
        <v>0</v>
      </c>
      <c r="K2217" t="n">
        <v>0</v>
      </c>
      <c r="L2217" t="n">
        <v>1</v>
      </c>
      <c r="M2217" t="n">
        <v>0</v>
      </c>
    </row>
    <row r="2218" spans="1:13">
      <c r="A2218" s="1">
        <f>HYPERLINK("http://www.twitter.com/NathanBLawrence/status/930906751221854208", "930906751221854208")</f>
        <v/>
      </c>
      <c r="B2218" s="2" t="n">
        <v>43054.88471064815</v>
      </c>
      <c r="C2218" t="n">
        <v>1</v>
      </c>
      <c r="D2218" t="n">
        <v>0</v>
      </c>
      <c r="E2218" t="s">
        <v>2227</v>
      </c>
      <c r="F2218" t="s"/>
      <c r="G2218" t="s"/>
      <c r="H2218" t="s"/>
      <c r="I2218" t="s"/>
      <c r="J2218" t="n">
        <v>0</v>
      </c>
      <c r="K2218" t="n">
        <v>0</v>
      </c>
      <c r="L2218" t="n">
        <v>1</v>
      </c>
      <c r="M2218" t="n">
        <v>0</v>
      </c>
    </row>
    <row r="2219" spans="1:13">
      <c r="A2219" s="1">
        <f>HYPERLINK("http://www.twitter.com/NathanBLawrence/status/930892592652455936", "930892592652455936")</f>
        <v/>
      </c>
      <c r="B2219" s="2" t="n">
        <v>43054.84563657407</v>
      </c>
      <c r="C2219" t="n">
        <v>1</v>
      </c>
      <c r="D2219" t="n">
        <v>0</v>
      </c>
      <c r="E2219" t="s">
        <v>2228</v>
      </c>
      <c r="F2219" t="s"/>
      <c r="G2219" t="s"/>
      <c r="H2219" t="s"/>
      <c r="I2219" t="s"/>
      <c r="J2219" t="n">
        <v>0.627</v>
      </c>
      <c r="K2219" t="n">
        <v>0</v>
      </c>
      <c r="L2219" t="n">
        <v>0.66</v>
      </c>
      <c r="M2219" t="n">
        <v>0.34</v>
      </c>
    </row>
    <row r="2220" spans="1:13">
      <c r="A2220" s="1">
        <f>HYPERLINK("http://www.twitter.com/NathanBLawrence/status/930880735321477120", "930880735321477120")</f>
        <v/>
      </c>
      <c r="B2220" s="2" t="n">
        <v>43054.81291666667</v>
      </c>
      <c r="C2220" t="n">
        <v>0</v>
      </c>
      <c r="D2220" t="n">
        <v>0</v>
      </c>
      <c r="E2220" t="s">
        <v>2229</v>
      </c>
      <c r="F2220" t="s"/>
      <c r="G2220" t="s"/>
      <c r="H2220" t="s"/>
      <c r="I2220" t="s"/>
      <c r="J2220" t="n">
        <v>0</v>
      </c>
      <c r="K2220" t="n">
        <v>0</v>
      </c>
      <c r="L2220" t="n">
        <v>1</v>
      </c>
      <c r="M2220" t="n">
        <v>0</v>
      </c>
    </row>
    <row r="2221" spans="1:13">
      <c r="A2221" s="1">
        <f>HYPERLINK("http://www.twitter.com/NathanBLawrence/status/930858529669468170", "930858529669468170")</f>
        <v/>
      </c>
      <c r="B2221" s="2" t="n">
        <v>43054.75164351852</v>
      </c>
      <c r="C2221" t="n">
        <v>0</v>
      </c>
      <c r="D2221" t="n">
        <v>3605</v>
      </c>
      <c r="E2221" t="s">
        <v>2230</v>
      </c>
      <c r="F2221">
        <f>HYPERLINK("https://video.twimg.com/ext_tw_video/930854928842555393/pu/vid/1280x720/lZBKOkDm_OowEJwe.mp4", "https://video.twimg.com/ext_tw_video/930854928842555393/pu/vid/1280x720/lZBKOkDm_OowEJwe.mp4")</f>
        <v/>
      </c>
      <c r="G2221" t="s"/>
      <c r="H2221" t="s"/>
      <c r="I2221" t="s"/>
      <c r="J2221" t="n">
        <v>0.1759</v>
      </c>
      <c r="K2221" t="n">
        <v>0.263</v>
      </c>
      <c r="L2221" t="n">
        <v>0.423</v>
      </c>
      <c r="M2221" t="n">
        <v>0.314</v>
      </c>
    </row>
    <row r="2222" spans="1:13">
      <c r="A2222" s="1">
        <f>HYPERLINK("http://www.twitter.com/NathanBLawrence/status/930824698568564736", "930824698568564736")</f>
        <v/>
      </c>
      <c r="B2222" s="2" t="n">
        <v>43054.65828703704</v>
      </c>
      <c r="C2222" t="n">
        <v>0</v>
      </c>
      <c r="D2222" t="n">
        <v>0</v>
      </c>
      <c r="E2222" t="s">
        <v>2231</v>
      </c>
      <c r="F2222" t="s"/>
      <c r="G2222" t="s"/>
      <c r="H2222" t="s"/>
      <c r="I2222" t="s"/>
      <c r="J2222" t="n">
        <v>0</v>
      </c>
      <c r="K2222" t="n">
        <v>0</v>
      </c>
      <c r="L2222" t="n">
        <v>1</v>
      </c>
      <c r="M2222" t="n">
        <v>0</v>
      </c>
    </row>
    <row r="2223" spans="1:13">
      <c r="A2223" s="1">
        <f>HYPERLINK("http://www.twitter.com/NathanBLawrence/status/930824299056943104", "930824299056943104")</f>
        <v/>
      </c>
      <c r="B2223" s="2" t="n">
        <v>43054.6571875</v>
      </c>
      <c r="C2223" t="n">
        <v>0</v>
      </c>
      <c r="D2223" t="n">
        <v>0</v>
      </c>
      <c r="E2223" t="s">
        <v>2232</v>
      </c>
      <c r="F2223" t="s"/>
      <c r="G2223" t="s"/>
      <c r="H2223" t="s"/>
      <c r="I2223" t="s"/>
      <c r="J2223" t="n">
        <v>0</v>
      </c>
      <c r="K2223" t="n">
        <v>0</v>
      </c>
      <c r="L2223" t="n">
        <v>1</v>
      </c>
      <c r="M2223" t="n">
        <v>0</v>
      </c>
    </row>
    <row r="2224" spans="1:13">
      <c r="A2224" s="1">
        <f>HYPERLINK("http://www.twitter.com/NathanBLawrence/status/930808563575992320", "930808563575992320")</f>
        <v/>
      </c>
      <c r="B2224" s="2" t="n">
        <v>43054.61376157407</v>
      </c>
      <c r="C2224" t="n">
        <v>1</v>
      </c>
      <c r="D2224" t="n">
        <v>0</v>
      </c>
      <c r="E2224" t="s">
        <v>2233</v>
      </c>
      <c r="F2224" t="s"/>
      <c r="G2224" t="s"/>
      <c r="H2224" t="s"/>
      <c r="I2224" t="s"/>
      <c r="J2224" t="n">
        <v>0</v>
      </c>
      <c r="K2224" t="n">
        <v>0</v>
      </c>
      <c r="L2224" t="n">
        <v>1</v>
      </c>
      <c r="M2224" t="n">
        <v>0</v>
      </c>
    </row>
    <row r="2225" spans="1:13">
      <c r="A2225" s="1">
        <f>HYPERLINK("http://www.twitter.com/NathanBLawrence/status/930803334650482690", "930803334650482690")</f>
        <v/>
      </c>
      <c r="B2225" s="2" t="n">
        <v>43054.59934027777</v>
      </c>
      <c r="C2225" t="n">
        <v>0</v>
      </c>
      <c r="D2225" t="n">
        <v>0</v>
      </c>
      <c r="E2225" t="s">
        <v>2234</v>
      </c>
      <c r="F2225" t="s"/>
      <c r="G2225" t="s"/>
      <c r="H2225" t="s"/>
      <c r="I2225" t="s"/>
      <c r="J2225" t="n">
        <v>0</v>
      </c>
      <c r="K2225" t="n">
        <v>0</v>
      </c>
      <c r="L2225" t="n">
        <v>1</v>
      </c>
      <c r="M2225" t="n">
        <v>0</v>
      </c>
    </row>
    <row r="2226" spans="1:13">
      <c r="A2226" s="1">
        <f>HYPERLINK("http://www.twitter.com/NathanBLawrence/status/930798360163946496", "930798360163946496")</f>
        <v/>
      </c>
      <c r="B2226" s="2" t="n">
        <v>43054.58561342592</v>
      </c>
      <c r="C2226" t="n">
        <v>0</v>
      </c>
      <c r="D2226" t="n">
        <v>0</v>
      </c>
      <c r="E2226" t="s">
        <v>2235</v>
      </c>
      <c r="F2226" t="s"/>
      <c r="G2226" t="s"/>
      <c r="H2226" t="s"/>
      <c r="I2226" t="s"/>
      <c r="J2226" t="n">
        <v>0</v>
      </c>
      <c r="K2226" t="n">
        <v>0</v>
      </c>
      <c r="L2226" t="n">
        <v>1</v>
      </c>
      <c r="M2226" t="n">
        <v>0</v>
      </c>
    </row>
    <row r="2227" spans="1:13">
      <c r="A2227" s="1">
        <f>HYPERLINK("http://www.twitter.com/NathanBLawrence/status/930786202680094720", "930786202680094720")</f>
        <v/>
      </c>
      <c r="B2227" s="2" t="n">
        <v>43054.55206018518</v>
      </c>
      <c r="C2227" t="n">
        <v>1</v>
      </c>
      <c r="D2227" t="n">
        <v>1</v>
      </c>
      <c r="E2227" t="s">
        <v>2236</v>
      </c>
      <c r="F2227" t="s"/>
      <c r="G2227" t="s"/>
      <c r="H2227" t="s"/>
      <c r="I2227" t="s"/>
      <c r="J2227" t="n">
        <v>0</v>
      </c>
      <c r="K2227" t="n">
        <v>0</v>
      </c>
      <c r="L2227" t="n">
        <v>1</v>
      </c>
      <c r="M2227" t="n">
        <v>0</v>
      </c>
    </row>
    <row r="2228" spans="1:13">
      <c r="A2228" s="1">
        <f>HYPERLINK("http://www.twitter.com/NathanBLawrence/status/930785093874012161", "930785093874012161")</f>
        <v/>
      </c>
      <c r="B2228" s="2" t="n">
        <v>43054.54900462963</v>
      </c>
      <c r="C2228" t="n">
        <v>1</v>
      </c>
      <c r="D2228" t="n">
        <v>0</v>
      </c>
      <c r="E2228" t="s">
        <v>2237</v>
      </c>
      <c r="F2228" t="s"/>
      <c r="G2228" t="s"/>
      <c r="H2228" t="s"/>
      <c r="I2228" t="s"/>
      <c r="J2228" t="n">
        <v>0.3612</v>
      </c>
      <c r="K2228" t="n">
        <v>0</v>
      </c>
      <c r="L2228" t="n">
        <v>0.737</v>
      </c>
      <c r="M2228" t="n">
        <v>0.263</v>
      </c>
    </row>
    <row r="2229" spans="1:13">
      <c r="A2229" s="1">
        <f>HYPERLINK("http://www.twitter.com/NathanBLawrence/status/930758505728004096", "930758505728004096")</f>
        <v/>
      </c>
      <c r="B2229" s="2" t="n">
        <v>43054.47563657408</v>
      </c>
      <c r="C2229" t="n">
        <v>1</v>
      </c>
      <c r="D2229" t="n">
        <v>0</v>
      </c>
      <c r="E2229" t="s">
        <v>2238</v>
      </c>
      <c r="F2229" t="s"/>
      <c r="G2229" t="s"/>
      <c r="H2229" t="s"/>
      <c r="I2229" t="s"/>
      <c r="J2229" t="n">
        <v>0.6908</v>
      </c>
      <c r="K2229" t="n">
        <v>0</v>
      </c>
      <c r="L2229" t="n">
        <v>0.584</v>
      </c>
      <c r="M2229" t="n">
        <v>0.416</v>
      </c>
    </row>
    <row r="2230" spans="1:13">
      <c r="A2230" s="1">
        <f>HYPERLINK("http://www.twitter.com/NathanBLawrence/status/930757291632099329", "930757291632099329")</f>
        <v/>
      </c>
      <c r="B2230" s="2" t="n">
        <v>43054.4722800926</v>
      </c>
      <c r="C2230" t="n">
        <v>0</v>
      </c>
      <c r="D2230" t="n">
        <v>0</v>
      </c>
      <c r="E2230" t="s">
        <v>2239</v>
      </c>
      <c r="F2230" t="s"/>
      <c r="G2230" t="s"/>
      <c r="H2230" t="s"/>
      <c r="I2230" t="s"/>
      <c r="J2230" t="n">
        <v>0.7131</v>
      </c>
      <c r="K2230" t="n">
        <v>0</v>
      </c>
      <c r="L2230" t="n">
        <v>0.649</v>
      </c>
      <c r="M2230" t="n">
        <v>0.351</v>
      </c>
    </row>
    <row r="2231" spans="1:13">
      <c r="A2231" s="1">
        <f>HYPERLINK("http://www.twitter.com/NathanBLawrence/status/930652199679602691", "930652199679602691")</f>
        <v/>
      </c>
      <c r="B2231" s="2" t="n">
        <v>43054.18228009259</v>
      </c>
      <c r="C2231" t="n">
        <v>1</v>
      </c>
      <c r="D2231" t="n">
        <v>0</v>
      </c>
      <c r="E2231" t="s">
        <v>2240</v>
      </c>
      <c r="F2231" t="s"/>
      <c r="G2231" t="s"/>
      <c r="H2231" t="s"/>
      <c r="I2231" t="s"/>
      <c r="J2231" t="n">
        <v>0.4019</v>
      </c>
      <c r="K2231" t="n">
        <v>0</v>
      </c>
      <c r="L2231" t="n">
        <v>0.526</v>
      </c>
      <c r="M2231" t="n">
        <v>0.474</v>
      </c>
    </row>
    <row r="2232" spans="1:13">
      <c r="A2232" s="1">
        <f>HYPERLINK("http://www.twitter.com/NathanBLawrence/status/930645402428366849", "930645402428366849")</f>
        <v/>
      </c>
      <c r="B2232" s="2" t="n">
        <v>43054.16353009259</v>
      </c>
      <c r="C2232" t="n">
        <v>3</v>
      </c>
      <c r="D2232" t="n">
        <v>2</v>
      </c>
      <c r="E2232" t="s">
        <v>2241</v>
      </c>
      <c r="F2232" t="s"/>
      <c r="G2232" t="s"/>
      <c r="H2232" t="s"/>
      <c r="I2232" t="s"/>
      <c r="J2232" t="n">
        <v>0</v>
      </c>
      <c r="K2232" t="n">
        <v>0</v>
      </c>
      <c r="L2232" t="n">
        <v>1</v>
      </c>
      <c r="M2232" t="n">
        <v>0</v>
      </c>
    </row>
    <row r="2233" spans="1:13">
      <c r="A2233" s="1">
        <f>HYPERLINK("http://www.twitter.com/NathanBLawrence/status/930606077539946496", "930606077539946496")</f>
        <v/>
      </c>
      <c r="B2233" s="2" t="n">
        <v>43054.05501157408</v>
      </c>
      <c r="C2233" t="n">
        <v>0</v>
      </c>
      <c r="D2233" t="n">
        <v>1372</v>
      </c>
      <c r="E2233" t="s">
        <v>2242</v>
      </c>
      <c r="F2233" t="s"/>
      <c r="G2233" t="s"/>
      <c r="H2233" t="s"/>
      <c r="I2233" t="s"/>
      <c r="J2233" t="n">
        <v>0.3182</v>
      </c>
      <c r="K2233" t="n">
        <v>0</v>
      </c>
      <c r="L2233" t="n">
        <v>0.874</v>
      </c>
      <c r="M2233" t="n">
        <v>0.126</v>
      </c>
    </row>
    <row r="2234" spans="1:13">
      <c r="A2234" s="1">
        <f>HYPERLINK("http://www.twitter.com/NathanBLawrence/status/930604627703320576", "930604627703320576")</f>
        <v/>
      </c>
      <c r="B2234" s="2" t="n">
        <v>43054.05100694444</v>
      </c>
      <c r="C2234" t="n">
        <v>0</v>
      </c>
      <c r="D2234" t="n">
        <v>0</v>
      </c>
      <c r="E2234" t="s">
        <v>2243</v>
      </c>
      <c r="F2234" t="s"/>
      <c r="G2234" t="s"/>
      <c r="H2234" t="s"/>
      <c r="I2234" t="s"/>
      <c r="J2234" t="n">
        <v>0.508</v>
      </c>
      <c r="K2234" t="n">
        <v>0</v>
      </c>
      <c r="L2234" t="n">
        <v>0.604</v>
      </c>
      <c r="M2234" t="n">
        <v>0.396</v>
      </c>
    </row>
    <row r="2235" spans="1:13">
      <c r="A2235" s="1">
        <f>HYPERLINK("http://www.twitter.com/NathanBLawrence/status/930602430106095622", "930602430106095622")</f>
        <v/>
      </c>
      <c r="B2235" s="2" t="n">
        <v>43054.04494212963</v>
      </c>
      <c r="C2235" t="n">
        <v>0</v>
      </c>
      <c r="D2235" t="n">
        <v>0</v>
      </c>
      <c r="E2235" t="s">
        <v>2244</v>
      </c>
      <c r="F2235" t="s"/>
      <c r="G2235" t="s"/>
      <c r="H2235" t="s"/>
      <c r="I2235" t="s"/>
      <c r="J2235" t="n">
        <v>-0.2755</v>
      </c>
      <c r="K2235" t="n">
        <v>0.174</v>
      </c>
      <c r="L2235" t="n">
        <v>0.826</v>
      </c>
      <c r="M2235" t="n">
        <v>0</v>
      </c>
    </row>
    <row r="2236" spans="1:13">
      <c r="A2236" s="1">
        <f>HYPERLINK("http://www.twitter.com/NathanBLawrence/status/930601181893808133", "930601181893808133")</f>
        <v/>
      </c>
      <c r="B2236" s="2" t="n">
        <v>43054.04150462963</v>
      </c>
      <c r="C2236" t="n">
        <v>0</v>
      </c>
      <c r="D2236" t="n">
        <v>0</v>
      </c>
      <c r="E2236" t="s">
        <v>2245</v>
      </c>
      <c r="F2236" t="s"/>
      <c r="G2236" t="s"/>
      <c r="H2236" t="s"/>
      <c r="I2236" t="s"/>
      <c r="J2236" t="n">
        <v>-0.4777</v>
      </c>
      <c r="K2236" t="n">
        <v>0.298</v>
      </c>
      <c r="L2236" t="n">
        <v>0.5639999999999999</v>
      </c>
      <c r="M2236" t="n">
        <v>0.138</v>
      </c>
    </row>
    <row r="2237" spans="1:13">
      <c r="A2237" s="1">
        <f>HYPERLINK("http://www.twitter.com/NathanBLawrence/status/930590794783903744", "930590794783903744")</f>
        <v/>
      </c>
      <c r="B2237" s="2" t="n">
        <v>43054.01283564815</v>
      </c>
      <c r="C2237" t="n">
        <v>2</v>
      </c>
      <c r="D2237" t="n">
        <v>0</v>
      </c>
      <c r="E2237" t="s">
        <v>2246</v>
      </c>
      <c r="F2237" t="s"/>
      <c r="G2237" t="s"/>
      <c r="H2237" t="s"/>
      <c r="I2237" t="s"/>
      <c r="J2237" t="n">
        <v>0</v>
      </c>
      <c r="K2237" t="n">
        <v>0</v>
      </c>
      <c r="L2237" t="n">
        <v>1</v>
      </c>
      <c r="M2237" t="n">
        <v>0</v>
      </c>
    </row>
    <row r="2238" spans="1:13">
      <c r="A2238" s="1">
        <f>HYPERLINK("http://www.twitter.com/NathanBLawrence/status/930540766040125440", "930540766040125440")</f>
        <v/>
      </c>
      <c r="B2238" s="2" t="n">
        <v>43053.87478009259</v>
      </c>
      <c r="C2238" t="n">
        <v>0</v>
      </c>
      <c r="D2238" t="n">
        <v>0</v>
      </c>
      <c r="E2238" t="s">
        <v>2247</v>
      </c>
      <c r="F2238" t="s"/>
      <c r="G2238" t="s"/>
      <c r="H2238" t="s"/>
      <c r="I2238" t="s"/>
      <c r="J2238" t="n">
        <v>0</v>
      </c>
      <c r="K2238" t="n">
        <v>0</v>
      </c>
      <c r="L2238" t="n">
        <v>1</v>
      </c>
      <c r="M2238" t="n">
        <v>0</v>
      </c>
    </row>
    <row r="2239" spans="1:13">
      <c r="A2239" s="1">
        <f>HYPERLINK("http://www.twitter.com/NathanBLawrence/status/930475506444701697", "930475506444701697")</f>
        <v/>
      </c>
      <c r="B2239" s="2" t="n">
        <v>43053.69469907408</v>
      </c>
      <c r="C2239" t="n">
        <v>0</v>
      </c>
      <c r="D2239" t="n">
        <v>0</v>
      </c>
      <c r="E2239" t="s">
        <v>2248</v>
      </c>
      <c r="F2239" t="s"/>
      <c r="G2239" t="s"/>
      <c r="H2239" t="s"/>
      <c r="I2239" t="s"/>
      <c r="J2239" t="n">
        <v>0</v>
      </c>
      <c r="K2239" t="n">
        <v>0</v>
      </c>
      <c r="L2239" t="n">
        <v>1</v>
      </c>
      <c r="M2239" t="n">
        <v>0</v>
      </c>
    </row>
    <row r="2240" spans="1:13">
      <c r="A2240" s="1">
        <f>HYPERLINK("http://www.twitter.com/NathanBLawrence/status/930474687410397184", "930474687410397184")</f>
        <v/>
      </c>
      <c r="B2240" s="2" t="n">
        <v>43053.69244212963</v>
      </c>
      <c r="C2240" t="n">
        <v>0</v>
      </c>
      <c r="D2240" t="n">
        <v>1</v>
      </c>
      <c r="E2240" t="s">
        <v>2249</v>
      </c>
      <c r="F2240" t="s"/>
      <c r="G2240" t="s"/>
      <c r="H2240" t="s"/>
      <c r="I2240" t="s"/>
      <c r="J2240" t="n">
        <v>-0.3182</v>
      </c>
      <c r="K2240" t="n">
        <v>0.133</v>
      </c>
      <c r="L2240" t="n">
        <v>0.867</v>
      </c>
      <c r="M2240" t="n">
        <v>0</v>
      </c>
    </row>
    <row r="2241" spans="1:13">
      <c r="A2241" s="1">
        <f>HYPERLINK("http://www.twitter.com/NathanBLawrence/status/930474082545688578", "930474082545688578")</f>
        <v/>
      </c>
      <c r="B2241" s="2" t="n">
        <v>43053.69077546296</v>
      </c>
      <c r="C2241" t="n">
        <v>0</v>
      </c>
      <c r="D2241" t="n">
        <v>0</v>
      </c>
      <c r="E2241" t="s">
        <v>2250</v>
      </c>
      <c r="F2241" t="s"/>
      <c r="G2241" t="s"/>
      <c r="H2241" t="s"/>
      <c r="I2241" t="s"/>
      <c r="J2241" t="n">
        <v>-0.25</v>
      </c>
      <c r="K2241" t="n">
        <v>0.143</v>
      </c>
      <c r="L2241" t="n">
        <v>0.857</v>
      </c>
      <c r="M2241" t="n">
        <v>0</v>
      </c>
    </row>
    <row r="2242" spans="1:13">
      <c r="A2242" s="1">
        <f>HYPERLINK("http://www.twitter.com/NathanBLawrence/status/930416490867814400", "930416490867814400")</f>
        <v/>
      </c>
      <c r="B2242" s="2" t="n">
        <v>43053.53185185185</v>
      </c>
      <c r="C2242" t="n">
        <v>1</v>
      </c>
      <c r="D2242" t="n">
        <v>0</v>
      </c>
      <c r="E2242" t="s">
        <v>2251</v>
      </c>
      <c r="F2242" t="s"/>
      <c r="G2242" t="s"/>
      <c r="H2242" t="s"/>
      <c r="I2242" t="s"/>
      <c r="J2242" t="n">
        <v>0.4168</v>
      </c>
      <c r="K2242" t="n">
        <v>0</v>
      </c>
      <c r="L2242" t="n">
        <v>0.742</v>
      </c>
      <c r="M2242" t="n">
        <v>0.258</v>
      </c>
    </row>
    <row r="2243" spans="1:13">
      <c r="A2243" s="1">
        <f>HYPERLINK("http://www.twitter.com/NathanBLawrence/status/930414039246786563", "930414039246786563")</f>
        <v/>
      </c>
      <c r="B2243" s="2" t="n">
        <v>43053.52508101852</v>
      </c>
      <c r="C2243" t="n">
        <v>0</v>
      </c>
      <c r="D2243" t="n">
        <v>0</v>
      </c>
      <c r="E2243" t="s">
        <v>2252</v>
      </c>
      <c r="F2243" t="s"/>
      <c r="G2243" t="s"/>
      <c r="H2243" t="s"/>
      <c r="I2243" t="s"/>
      <c r="J2243" t="n">
        <v>-0.4215</v>
      </c>
      <c r="K2243" t="n">
        <v>0.359</v>
      </c>
      <c r="L2243" t="n">
        <v>0.641</v>
      </c>
      <c r="M2243" t="n">
        <v>0</v>
      </c>
    </row>
    <row r="2244" spans="1:13">
      <c r="A2244" s="1">
        <f>HYPERLINK("http://www.twitter.com/NathanBLawrence/status/930413648518025217", "930413648518025217")</f>
        <v/>
      </c>
      <c r="B2244" s="2" t="n">
        <v>43053.52400462963</v>
      </c>
      <c r="C2244" t="n">
        <v>1</v>
      </c>
      <c r="D2244" t="n">
        <v>0</v>
      </c>
      <c r="E2244" t="s">
        <v>2253</v>
      </c>
      <c r="F2244" t="s"/>
      <c r="G2244" t="s"/>
      <c r="H2244" t="s"/>
      <c r="I2244" t="s"/>
      <c r="J2244" t="n">
        <v>-0.4404</v>
      </c>
      <c r="K2244" t="n">
        <v>0.367</v>
      </c>
      <c r="L2244" t="n">
        <v>0.633</v>
      </c>
      <c r="M2244" t="n">
        <v>0</v>
      </c>
    </row>
    <row r="2245" spans="1:13">
      <c r="A2245" s="1">
        <f>HYPERLINK("http://www.twitter.com/NathanBLawrence/status/930412212757426181", "930412212757426181")</f>
        <v/>
      </c>
      <c r="B2245" s="2" t="n">
        <v>43053.5200462963</v>
      </c>
      <c r="C2245" t="n">
        <v>1</v>
      </c>
      <c r="D2245" t="n">
        <v>0</v>
      </c>
      <c r="E2245" t="s">
        <v>2254</v>
      </c>
      <c r="F2245" t="s"/>
      <c r="G2245" t="s"/>
      <c r="H2245" t="s"/>
      <c r="I2245" t="s"/>
      <c r="J2245" t="n">
        <v>0.0258</v>
      </c>
      <c r="K2245" t="n">
        <v>0</v>
      </c>
      <c r="L2245" t="n">
        <v>0.901</v>
      </c>
      <c r="M2245" t="n">
        <v>0.099</v>
      </c>
    </row>
    <row r="2246" spans="1:13">
      <c r="A2246" s="1">
        <f>HYPERLINK("http://www.twitter.com/NathanBLawrence/status/930287613319241728", "930287613319241728")</f>
        <v/>
      </c>
      <c r="B2246" s="2" t="n">
        <v>43053.17621527778</v>
      </c>
      <c r="C2246" t="n">
        <v>1</v>
      </c>
      <c r="D2246" t="n">
        <v>0</v>
      </c>
      <c r="E2246" t="s">
        <v>2255</v>
      </c>
      <c r="F2246" t="s"/>
      <c r="G2246" t="s"/>
      <c r="H2246" t="s"/>
      <c r="I2246" t="s"/>
      <c r="J2246" t="n">
        <v>0</v>
      </c>
      <c r="K2246" t="n">
        <v>0</v>
      </c>
      <c r="L2246" t="n">
        <v>1</v>
      </c>
      <c r="M2246" t="n">
        <v>0</v>
      </c>
    </row>
    <row r="2247" spans="1:13">
      <c r="A2247" s="1">
        <f>HYPERLINK("http://www.twitter.com/NathanBLawrence/status/930264313012432897", "930264313012432897")</f>
        <v/>
      </c>
      <c r="B2247" s="2" t="n">
        <v>43053.11192129629</v>
      </c>
      <c r="C2247" t="n">
        <v>0</v>
      </c>
      <c r="D2247" t="n">
        <v>0</v>
      </c>
      <c r="E2247" t="s">
        <v>2256</v>
      </c>
      <c r="F2247" t="s"/>
      <c r="G2247" t="s"/>
      <c r="H2247" t="s"/>
      <c r="I2247" t="s"/>
      <c r="J2247" t="n">
        <v>-0.5994</v>
      </c>
      <c r="K2247" t="n">
        <v>0.38</v>
      </c>
      <c r="L2247" t="n">
        <v>0.62</v>
      </c>
      <c r="M2247" t="n">
        <v>0</v>
      </c>
    </row>
    <row r="2248" spans="1:13">
      <c r="A2248" s="1">
        <f>HYPERLINK("http://www.twitter.com/NathanBLawrence/status/930162370508460034", "930162370508460034")</f>
        <v/>
      </c>
      <c r="B2248" s="2" t="n">
        <v>43052.83061342593</v>
      </c>
      <c r="C2248" t="n">
        <v>0</v>
      </c>
      <c r="D2248" t="n">
        <v>0</v>
      </c>
      <c r="E2248" t="s">
        <v>2257</v>
      </c>
      <c r="F2248" t="s"/>
      <c r="G2248" t="s"/>
      <c r="H2248" t="s"/>
      <c r="I2248" t="s"/>
      <c r="J2248" t="n">
        <v>0</v>
      </c>
      <c r="K2248" t="n">
        <v>0</v>
      </c>
      <c r="L2248" t="n">
        <v>1</v>
      </c>
      <c r="M2248" t="n">
        <v>0</v>
      </c>
    </row>
    <row r="2249" spans="1:13">
      <c r="A2249" s="1">
        <f>HYPERLINK("http://www.twitter.com/NathanBLawrence/status/930097137232306178", "930097137232306178")</f>
        <v/>
      </c>
      <c r="B2249" s="2" t="n">
        <v>43052.65060185185</v>
      </c>
      <c r="C2249" t="n">
        <v>2</v>
      </c>
      <c r="D2249" t="n">
        <v>0</v>
      </c>
      <c r="E2249" t="s">
        <v>2258</v>
      </c>
      <c r="F2249" t="s"/>
      <c r="G2249" t="s"/>
      <c r="H2249" t="s"/>
      <c r="I2249" t="s"/>
      <c r="J2249" t="n">
        <v>0.3182</v>
      </c>
      <c r="K2249" t="n">
        <v>0</v>
      </c>
      <c r="L2249" t="n">
        <v>0.723</v>
      </c>
      <c r="M2249" t="n">
        <v>0.277</v>
      </c>
    </row>
    <row r="2250" spans="1:13">
      <c r="A2250" s="1">
        <f>HYPERLINK("http://www.twitter.com/NathanBLawrence/status/929800588103176193", "929800588103176193")</f>
        <v/>
      </c>
      <c r="B2250" s="2" t="n">
        <v>43051.8322800926</v>
      </c>
      <c r="C2250" t="n">
        <v>1</v>
      </c>
      <c r="D2250" t="n">
        <v>0</v>
      </c>
      <c r="E2250" t="s">
        <v>2259</v>
      </c>
      <c r="F2250" t="s"/>
      <c r="G2250" t="s"/>
      <c r="H2250" t="s"/>
      <c r="I2250" t="s"/>
      <c r="J2250" t="n">
        <v>-0.7003</v>
      </c>
      <c r="K2250" t="n">
        <v>0.392</v>
      </c>
      <c r="L2250" t="n">
        <v>0.608</v>
      </c>
      <c r="M2250" t="n">
        <v>0</v>
      </c>
    </row>
    <row r="2251" spans="1:13">
      <c r="A2251" s="1">
        <f>HYPERLINK("http://www.twitter.com/NathanBLawrence/status/929757529239846912", "929757529239846912")</f>
        <v/>
      </c>
      <c r="B2251" s="2" t="n">
        <v>43051.71346064815</v>
      </c>
      <c r="C2251" t="n">
        <v>2</v>
      </c>
      <c r="D2251" t="n">
        <v>1</v>
      </c>
      <c r="E2251" t="s">
        <v>2260</v>
      </c>
      <c r="F2251" t="s"/>
      <c r="G2251" t="s"/>
      <c r="H2251" t="s"/>
      <c r="I2251" t="s"/>
      <c r="J2251" t="n">
        <v>0</v>
      </c>
      <c r="K2251" t="n">
        <v>0</v>
      </c>
      <c r="L2251" t="n">
        <v>1</v>
      </c>
      <c r="M2251" t="n">
        <v>0</v>
      </c>
    </row>
    <row r="2252" spans="1:13">
      <c r="A2252" s="1">
        <f>HYPERLINK("http://www.twitter.com/NathanBLawrence/status/929742449819508736", "929742449819508736")</f>
        <v/>
      </c>
      <c r="B2252" s="2" t="n">
        <v>43051.67185185185</v>
      </c>
      <c r="C2252" t="n">
        <v>4</v>
      </c>
      <c r="D2252" t="n">
        <v>2</v>
      </c>
      <c r="E2252" t="s">
        <v>2261</v>
      </c>
      <c r="F2252" t="s"/>
      <c r="G2252" t="s"/>
      <c r="H2252" t="s"/>
      <c r="I2252" t="s"/>
      <c r="J2252" t="n">
        <v>-0.902</v>
      </c>
      <c r="K2252" t="n">
        <v>0.373</v>
      </c>
      <c r="L2252" t="n">
        <v>0.511</v>
      </c>
      <c r="M2252" t="n">
        <v>0.116</v>
      </c>
    </row>
    <row r="2253" spans="1:13">
      <c r="A2253" s="1">
        <f>HYPERLINK("http://www.twitter.com/NathanBLawrence/status/929639948147396608", "929639948147396608")</f>
        <v/>
      </c>
      <c r="B2253" s="2" t="n">
        <v>43051.38900462963</v>
      </c>
      <c r="C2253" t="n">
        <v>0</v>
      </c>
      <c r="D2253" t="n">
        <v>0</v>
      </c>
      <c r="E2253" t="s">
        <v>2262</v>
      </c>
      <c r="F2253" t="s"/>
      <c r="G2253" t="s"/>
      <c r="H2253" t="s"/>
      <c r="I2253" t="s"/>
      <c r="J2253" t="n">
        <v>0.5719</v>
      </c>
      <c r="K2253" t="n">
        <v>0</v>
      </c>
      <c r="L2253" t="n">
        <v>0.519</v>
      </c>
      <c r="M2253" t="n">
        <v>0.481</v>
      </c>
    </row>
    <row r="2254" spans="1:13">
      <c r="A2254" s="1">
        <f>HYPERLINK("http://www.twitter.com/NathanBLawrence/status/929638257113141251", "929638257113141251")</f>
        <v/>
      </c>
      <c r="B2254" s="2" t="n">
        <v>43051.3843287037</v>
      </c>
      <c r="C2254" t="n">
        <v>0</v>
      </c>
      <c r="D2254" t="n">
        <v>0</v>
      </c>
      <c r="E2254" t="s">
        <v>2263</v>
      </c>
      <c r="F2254" t="s"/>
      <c r="G2254" t="s"/>
      <c r="H2254" t="s"/>
      <c r="I2254" t="s"/>
      <c r="J2254" t="n">
        <v>0.7444</v>
      </c>
      <c r="K2254" t="n">
        <v>0</v>
      </c>
      <c r="L2254" t="n">
        <v>0.577</v>
      </c>
      <c r="M2254" t="n">
        <v>0.423</v>
      </c>
    </row>
    <row r="2255" spans="1:13">
      <c r="A2255" s="1">
        <f>HYPERLINK("http://www.twitter.com/NathanBLawrence/status/929551881608843264", "929551881608843264")</f>
        <v/>
      </c>
      <c r="B2255" s="2" t="n">
        <v>43051.1459837963</v>
      </c>
      <c r="C2255" t="n">
        <v>0</v>
      </c>
      <c r="D2255" t="n">
        <v>0</v>
      </c>
      <c r="E2255" t="s">
        <v>2264</v>
      </c>
      <c r="F2255" t="s"/>
      <c r="G2255" t="s"/>
      <c r="H2255" t="s"/>
      <c r="I2255" t="s"/>
      <c r="J2255" t="n">
        <v>0.3612</v>
      </c>
      <c r="K2255" t="n">
        <v>0</v>
      </c>
      <c r="L2255" t="n">
        <v>0.901</v>
      </c>
      <c r="M2255" t="n">
        <v>0.099</v>
      </c>
    </row>
    <row r="2256" spans="1:13">
      <c r="A2256" s="1">
        <f>HYPERLINK("http://www.twitter.com/NathanBLawrence/status/929543043954470912", "929543043954470912")</f>
        <v/>
      </c>
      <c r="B2256" s="2" t="n">
        <v>43051.12159722222</v>
      </c>
      <c r="C2256" t="n">
        <v>0</v>
      </c>
      <c r="D2256" t="n">
        <v>0</v>
      </c>
      <c r="E2256" t="s">
        <v>2265</v>
      </c>
      <c r="F2256" t="s"/>
      <c r="G2256" t="s"/>
      <c r="H2256" t="s"/>
      <c r="I2256" t="s"/>
      <c r="J2256" t="n">
        <v>0</v>
      </c>
      <c r="K2256" t="n">
        <v>0</v>
      </c>
      <c r="L2256" t="n">
        <v>1</v>
      </c>
      <c r="M2256" t="n">
        <v>0</v>
      </c>
    </row>
    <row r="2257" spans="1:13">
      <c r="A2257" s="1">
        <f>HYPERLINK("http://www.twitter.com/NathanBLawrence/status/929434815761473537", "929434815761473537")</f>
        <v/>
      </c>
      <c r="B2257" s="2" t="n">
        <v>43050.82293981482</v>
      </c>
      <c r="C2257" t="n">
        <v>0</v>
      </c>
      <c r="D2257" t="n">
        <v>3</v>
      </c>
      <c r="E2257" t="s">
        <v>2266</v>
      </c>
      <c r="F2257" t="s"/>
      <c r="G2257" t="s"/>
      <c r="H2257" t="s"/>
      <c r="I2257" t="s"/>
      <c r="J2257" t="n">
        <v>-0.3818</v>
      </c>
      <c r="K2257" t="n">
        <v>0.133</v>
      </c>
      <c r="L2257" t="n">
        <v>0.867</v>
      </c>
      <c r="M2257" t="n">
        <v>0</v>
      </c>
    </row>
    <row r="2258" spans="1:13">
      <c r="A2258" s="1">
        <f>HYPERLINK("http://www.twitter.com/NathanBLawrence/status/929226070934638592", "929226070934638592")</f>
        <v/>
      </c>
      <c r="B2258" s="2" t="n">
        <v>43050.2469212963</v>
      </c>
      <c r="C2258" t="n">
        <v>0</v>
      </c>
      <c r="D2258" t="n">
        <v>2</v>
      </c>
      <c r="E2258" t="s">
        <v>2267</v>
      </c>
      <c r="F2258" t="s"/>
      <c r="G2258" t="s"/>
      <c r="H2258" t="s"/>
      <c r="I2258" t="s"/>
      <c r="J2258" t="n">
        <v>0</v>
      </c>
      <c r="K2258" t="n">
        <v>0</v>
      </c>
      <c r="L2258" t="n">
        <v>1</v>
      </c>
      <c r="M2258" t="n">
        <v>0</v>
      </c>
    </row>
    <row r="2259" spans="1:13">
      <c r="A2259" s="1">
        <f>HYPERLINK("http://www.twitter.com/NathanBLawrence/status/929208385224011777", "929208385224011777")</f>
        <v/>
      </c>
      <c r="B2259" s="2" t="n">
        <v>43050.19811342593</v>
      </c>
      <c r="C2259" t="n">
        <v>0</v>
      </c>
      <c r="D2259" t="n">
        <v>0</v>
      </c>
      <c r="E2259" t="s">
        <v>2268</v>
      </c>
      <c r="F2259" t="s"/>
      <c r="G2259" t="s"/>
      <c r="H2259" t="s"/>
      <c r="I2259" t="s"/>
      <c r="J2259" t="n">
        <v>0</v>
      </c>
      <c r="K2259" t="n">
        <v>0</v>
      </c>
      <c r="L2259" t="n">
        <v>1</v>
      </c>
      <c r="M2259" t="n">
        <v>0</v>
      </c>
    </row>
    <row r="2260" spans="1:13">
      <c r="A2260" s="1">
        <f>HYPERLINK("http://www.twitter.com/NathanBLawrence/status/929206672454832130", "929206672454832130")</f>
        <v/>
      </c>
      <c r="B2260" s="2" t="n">
        <v>43050.19339120371</v>
      </c>
      <c r="C2260" t="n">
        <v>0</v>
      </c>
      <c r="D2260" t="n">
        <v>12605</v>
      </c>
      <c r="E2260" t="s">
        <v>2269</v>
      </c>
      <c r="F2260" t="s"/>
      <c r="G2260" t="s"/>
      <c r="H2260" t="s"/>
      <c r="I2260" t="s"/>
      <c r="J2260" t="n">
        <v>-0.6093</v>
      </c>
      <c r="K2260" t="n">
        <v>0.184</v>
      </c>
      <c r="L2260" t="n">
        <v>0.8159999999999999</v>
      </c>
      <c r="M2260" t="n">
        <v>0</v>
      </c>
    </row>
    <row r="2261" spans="1:13">
      <c r="A2261" s="1">
        <f>HYPERLINK("http://www.twitter.com/NathanBLawrence/status/929196825973809153", "929196825973809153")</f>
        <v/>
      </c>
      <c r="B2261" s="2" t="n">
        <v>43050.16621527778</v>
      </c>
      <c r="C2261" t="n">
        <v>8</v>
      </c>
      <c r="D2261" t="n">
        <v>5</v>
      </c>
      <c r="E2261" t="s">
        <v>2270</v>
      </c>
      <c r="F2261">
        <f>HYPERLINK("http://pbs.twimg.com/media/DOUrlYjX0AAuBye.jpg", "http://pbs.twimg.com/media/DOUrlYjX0AAuBye.jpg")</f>
        <v/>
      </c>
      <c r="G2261" t="s"/>
      <c r="H2261" t="s"/>
      <c r="I2261" t="s"/>
      <c r="J2261" t="n">
        <v>-0.1531</v>
      </c>
      <c r="K2261" t="n">
        <v>0.076</v>
      </c>
      <c r="L2261" t="n">
        <v>0.868</v>
      </c>
      <c r="M2261" t="n">
        <v>0.056</v>
      </c>
    </row>
    <row r="2262" spans="1:13">
      <c r="A2262" s="1">
        <f>HYPERLINK("http://www.twitter.com/NathanBLawrence/status/929194750607052800", "929194750607052800")</f>
        <v/>
      </c>
      <c r="B2262" s="2" t="n">
        <v>43050.16048611111</v>
      </c>
      <c r="C2262" t="n">
        <v>5</v>
      </c>
      <c r="D2262" t="n">
        <v>1</v>
      </c>
      <c r="E2262" t="s">
        <v>2271</v>
      </c>
      <c r="F2262" t="s"/>
      <c r="G2262" t="s"/>
      <c r="H2262" t="s"/>
      <c r="I2262" t="s"/>
      <c r="J2262" t="n">
        <v>0.296</v>
      </c>
      <c r="K2262" t="n">
        <v>0</v>
      </c>
      <c r="L2262" t="n">
        <v>0.855</v>
      </c>
      <c r="M2262" t="n">
        <v>0.145</v>
      </c>
    </row>
    <row r="2263" spans="1:13">
      <c r="A2263" s="1">
        <f>HYPERLINK("http://www.twitter.com/NathanBLawrence/status/929181908075995136", "929181908075995136")</f>
        <v/>
      </c>
      <c r="B2263" s="2" t="n">
        <v>43050.1250462963</v>
      </c>
      <c r="C2263" t="n">
        <v>5</v>
      </c>
      <c r="D2263" t="n">
        <v>1</v>
      </c>
      <c r="E2263" t="s">
        <v>2272</v>
      </c>
      <c r="F2263">
        <f>HYPERLINK("http://pbs.twimg.com/media/DOUeAqDV4AEBXbd.jpg", "http://pbs.twimg.com/media/DOUeAqDV4AEBXbd.jpg")</f>
        <v/>
      </c>
      <c r="G2263" t="s"/>
      <c r="H2263" t="s"/>
      <c r="I2263" t="s"/>
      <c r="J2263" t="n">
        <v>0.4588</v>
      </c>
      <c r="K2263" t="n">
        <v>0</v>
      </c>
      <c r="L2263" t="n">
        <v>0.667</v>
      </c>
      <c r="M2263" t="n">
        <v>0.333</v>
      </c>
    </row>
    <row r="2264" spans="1:13">
      <c r="A2264" s="1">
        <f>HYPERLINK("http://www.twitter.com/NathanBLawrence/status/928850864344829952", "928850864344829952")</f>
        <v/>
      </c>
      <c r="B2264" s="2" t="n">
        <v>43049.21153935185</v>
      </c>
      <c r="C2264" t="n">
        <v>7</v>
      </c>
      <c r="D2264" t="n">
        <v>3</v>
      </c>
      <c r="E2264" t="s">
        <v>2273</v>
      </c>
      <c r="F2264" t="s"/>
      <c r="G2264" t="s"/>
      <c r="H2264" t="s"/>
      <c r="I2264" t="s"/>
      <c r="J2264" t="n">
        <v>-0.2732</v>
      </c>
      <c r="K2264" t="n">
        <v>0.296</v>
      </c>
      <c r="L2264" t="n">
        <v>0.704</v>
      </c>
      <c r="M2264" t="n">
        <v>0</v>
      </c>
    </row>
    <row r="2265" spans="1:13">
      <c r="A2265" s="1">
        <f>HYPERLINK("http://www.twitter.com/NathanBLawrence/status/928849454530166784", "928849454530166784")</f>
        <v/>
      </c>
      <c r="B2265" s="2" t="n">
        <v>43049.20765046297</v>
      </c>
      <c r="C2265" t="n">
        <v>0</v>
      </c>
      <c r="D2265" t="n">
        <v>2061</v>
      </c>
      <c r="E2265" t="s">
        <v>2274</v>
      </c>
      <c r="F2265" t="s"/>
      <c r="G2265" t="s"/>
      <c r="H2265" t="s"/>
      <c r="I2265" t="s"/>
      <c r="J2265" t="n">
        <v>-0.4939</v>
      </c>
      <c r="K2265" t="n">
        <v>0.132</v>
      </c>
      <c r="L2265" t="n">
        <v>0.868</v>
      </c>
      <c r="M2265" t="n">
        <v>0</v>
      </c>
    </row>
    <row r="2266" spans="1:13">
      <c r="A2266" s="1">
        <f>HYPERLINK("http://www.twitter.com/NathanBLawrence/status/928635158978232320", "928635158978232320")</f>
        <v/>
      </c>
      <c r="B2266" s="2" t="n">
        <v>43048.61630787037</v>
      </c>
      <c r="C2266" t="n">
        <v>0</v>
      </c>
      <c r="D2266" t="n">
        <v>0</v>
      </c>
      <c r="E2266" t="s">
        <v>2275</v>
      </c>
      <c r="F2266" t="s"/>
      <c r="G2266" t="s"/>
      <c r="H2266" t="s"/>
      <c r="I2266" t="s"/>
      <c r="J2266" t="n">
        <v>0.5266999999999999</v>
      </c>
      <c r="K2266" t="n">
        <v>0</v>
      </c>
      <c r="L2266" t="n">
        <v>0.714</v>
      </c>
      <c r="M2266" t="n">
        <v>0.286</v>
      </c>
    </row>
    <row r="2267" spans="1:13">
      <c r="A2267" s="1">
        <f>HYPERLINK("http://www.twitter.com/NathanBLawrence/status/928629490116452352", "928629490116452352")</f>
        <v/>
      </c>
      <c r="B2267" s="2" t="n">
        <v>43048.6006712963</v>
      </c>
      <c r="C2267" t="n">
        <v>0</v>
      </c>
      <c r="D2267" t="n">
        <v>0</v>
      </c>
      <c r="E2267" t="s">
        <v>2276</v>
      </c>
      <c r="F2267" t="s"/>
      <c r="G2267" t="s"/>
      <c r="H2267" t="s"/>
      <c r="I2267" t="s"/>
      <c r="J2267" t="n">
        <v>0.6892</v>
      </c>
      <c r="K2267" t="n">
        <v>0</v>
      </c>
      <c r="L2267" t="n">
        <v>0.599</v>
      </c>
      <c r="M2267" t="n">
        <v>0.401</v>
      </c>
    </row>
    <row r="2268" spans="1:13">
      <c r="A2268" s="1">
        <f>HYPERLINK("http://www.twitter.com/NathanBLawrence/status/928616952171520000", "928616952171520000")</f>
        <v/>
      </c>
      <c r="B2268" s="2" t="n">
        <v>43048.56606481481</v>
      </c>
      <c r="C2268" t="n">
        <v>0</v>
      </c>
      <c r="D2268" t="n">
        <v>0</v>
      </c>
      <c r="E2268" t="s">
        <v>2277</v>
      </c>
      <c r="F2268">
        <f>HYPERLINK("http://pbs.twimg.com/media/DOMcK0kVoAI3pQ2.jpg", "http://pbs.twimg.com/media/DOMcK0kVoAI3pQ2.jpg")</f>
        <v/>
      </c>
      <c r="G2268" t="s"/>
      <c r="H2268" t="s"/>
      <c r="I2268" t="s"/>
      <c r="J2268" t="n">
        <v>0.296</v>
      </c>
      <c r="K2268" t="n">
        <v>0</v>
      </c>
      <c r="L2268" t="n">
        <v>0.761</v>
      </c>
      <c r="M2268" t="n">
        <v>0.239</v>
      </c>
    </row>
    <row r="2269" spans="1:13">
      <c r="A2269" s="1">
        <f>HYPERLINK("http://www.twitter.com/NathanBLawrence/status/928470871601303552", "928470871601303552")</f>
        <v/>
      </c>
      <c r="B2269" s="2" t="n">
        <v>43048.16296296296</v>
      </c>
      <c r="C2269" t="n">
        <v>0</v>
      </c>
      <c r="D2269" t="n">
        <v>0</v>
      </c>
      <c r="E2269" t="s">
        <v>2278</v>
      </c>
      <c r="F2269" t="s"/>
      <c r="G2269" t="s"/>
      <c r="H2269" t="s"/>
      <c r="I2269" t="s"/>
      <c r="J2269" t="n">
        <v>-0.2057</v>
      </c>
      <c r="K2269" t="n">
        <v>0.115</v>
      </c>
      <c r="L2269" t="n">
        <v>0.885</v>
      </c>
      <c r="M2269" t="n">
        <v>0</v>
      </c>
    </row>
    <row r="2270" spans="1:13">
      <c r="A2270" s="1">
        <f>HYPERLINK("http://www.twitter.com/NathanBLawrence/status/928467944216170496", "928467944216170496")</f>
        <v/>
      </c>
      <c r="B2270" s="2" t="n">
        <v>43048.15488425926</v>
      </c>
      <c r="C2270" t="n">
        <v>0</v>
      </c>
      <c r="D2270" t="n">
        <v>0</v>
      </c>
      <c r="E2270" t="s">
        <v>2279</v>
      </c>
      <c r="F2270" t="s"/>
      <c r="G2270" t="s"/>
      <c r="H2270" t="s"/>
      <c r="I2270" t="s"/>
      <c r="J2270" t="n">
        <v>-0.6249</v>
      </c>
      <c r="K2270" t="n">
        <v>0.297</v>
      </c>
      <c r="L2270" t="n">
        <v>0.505</v>
      </c>
      <c r="M2270" t="n">
        <v>0.199</v>
      </c>
    </row>
    <row r="2271" spans="1:13">
      <c r="A2271" s="1">
        <f>HYPERLINK("http://www.twitter.com/NathanBLawrence/status/928464646599794689", "928464646599794689")</f>
        <v/>
      </c>
      <c r="B2271" s="2" t="n">
        <v>43048.14578703704</v>
      </c>
      <c r="C2271" t="n">
        <v>1</v>
      </c>
      <c r="D2271" t="n">
        <v>2</v>
      </c>
      <c r="E2271" t="s">
        <v>2280</v>
      </c>
      <c r="F2271" t="s"/>
      <c r="G2271" t="s"/>
      <c r="H2271" t="s"/>
      <c r="I2271" t="s"/>
      <c r="J2271" t="n">
        <v>-0.296</v>
      </c>
      <c r="K2271" t="n">
        <v>0.239</v>
      </c>
      <c r="L2271" t="n">
        <v>0.761</v>
      </c>
      <c r="M2271" t="n">
        <v>0</v>
      </c>
    </row>
    <row r="2272" spans="1:13">
      <c r="A2272" s="1">
        <f>HYPERLINK("http://www.twitter.com/NathanBLawrence/status/928463466553364481", "928463466553364481")</f>
        <v/>
      </c>
      <c r="B2272" s="2" t="n">
        <v>43048.14253472222</v>
      </c>
      <c r="C2272" t="n">
        <v>1</v>
      </c>
      <c r="D2272" t="n">
        <v>0</v>
      </c>
      <c r="E2272" t="s">
        <v>2281</v>
      </c>
      <c r="F2272" t="s"/>
      <c r="G2272" t="s"/>
      <c r="H2272" t="s"/>
      <c r="I2272" t="s"/>
      <c r="J2272" t="n">
        <v>0</v>
      </c>
      <c r="K2272" t="n">
        <v>0</v>
      </c>
      <c r="L2272" t="n">
        <v>1</v>
      </c>
      <c r="M2272" t="n">
        <v>0</v>
      </c>
    </row>
    <row r="2273" spans="1:13">
      <c r="A2273" s="1">
        <f>HYPERLINK("http://www.twitter.com/NathanBLawrence/status/928460310884831237", "928460310884831237")</f>
        <v/>
      </c>
      <c r="B2273" s="2" t="n">
        <v>43048.13381944445</v>
      </c>
      <c r="C2273" t="n">
        <v>1</v>
      </c>
      <c r="D2273" t="n">
        <v>0</v>
      </c>
      <c r="E2273" t="s">
        <v>2282</v>
      </c>
      <c r="F2273" t="s"/>
      <c r="G2273" t="s"/>
      <c r="H2273" t="s"/>
      <c r="I2273" t="s"/>
      <c r="J2273" t="n">
        <v>0</v>
      </c>
      <c r="K2273" t="n">
        <v>0</v>
      </c>
      <c r="L2273" t="n">
        <v>1</v>
      </c>
      <c r="M2273" t="n">
        <v>0</v>
      </c>
    </row>
    <row r="2274" spans="1:13">
      <c r="A2274" s="1">
        <f>HYPERLINK("http://www.twitter.com/NathanBLawrence/status/928445273751334912", "928445273751334912")</f>
        <v/>
      </c>
      <c r="B2274" s="2" t="n">
        <v>43048.09232638889</v>
      </c>
      <c r="C2274" t="n">
        <v>1</v>
      </c>
      <c r="D2274" t="n">
        <v>0</v>
      </c>
      <c r="E2274" t="s">
        <v>2283</v>
      </c>
      <c r="F2274" t="s"/>
      <c r="G2274" t="s"/>
      <c r="H2274" t="s"/>
      <c r="I2274" t="s"/>
      <c r="J2274" t="n">
        <v>0</v>
      </c>
      <c r="K2274" t="n">
        <v>0</v>
      </c>
      <c r="L2274" t="n">
        <v>1</v>
      </c>
      <c r="M2274" t="n">
        <v>0</v>
      </c>
    </row>
    <row r="2275" spans="1:13">
      <c r="A2275" s="1">
        <f>HYPERLINK("http://www.twitter.com/NathanBLawrence/status/928442085836980224", "928442085836980224")</f>
        <v/>
      </c>
      <c r="B2275" s="2" t="n">
        <v>43048.08353009259</v>
      </c>
      <c r="C2275" t="n">
        <v>1</v>
      </c>
      <c r="D2275" t="n">
        <v>0</v>
      </c>
      <c r="E2275" t="s">
        <v>2284</v>
      </c>
      <c r="F2275" t="s"/>
      <c r="G2275" t="s"/>
      <c r="H2275" t="s"/>
      <c r="I2275" t="s"/>
      <c r="J2275" t="n">
        <v>0</v>
      </c>
      <c r="K2275" t="n">
        <v>0</v>
      </c>
      <c r="L2275" t="n">
        <v>1</v>
      </c>
      <c r="M2275" t="n">
        <v>0</v>
      </c>
    </row>
    <row r="2276" spans="1:13">
      <c r="A2276" s="1">
        <f>HYPERLINK("http://www.twitter.com/NathanBLawrence/status/928377991738068994", "928377991738068994")</f>
        <v/>
      </c>
      <c r="B2276" s="2" t="n">
        <v>43047.90666666667</v>
      </c>
      <c r="C2276" t="n">
        <v>0</v>
      </c>
      <c r="D2276" t="n">
        <v>0</v>
      </c>
      <c r="E2276" t="s">
        <v>2285</v>
      </c>
      <c r="F2276" t="s"/>
      <c r="G2276" t="s"/>
      <c r="H2276" t="s"/>
      <c r="I2276" t="s"/>
      <c r="J2276" t="n">
        <v>-0.4215</v>
      </c>
      <c r="K2276" t="n">
        <v>0.259</v>
      </c>
      <c r="L2276" t="n">
        <v>0.741</v>
      </c>
      <c r="M2276" t="n">
        <v>0</v>
      </c>
    </row>
    <row r="2277" spans="1:13">
      <c r="A2277" s="1">
        <f>HYPERLINK("http://www.twitter.com/NathanBLawrence/status/928316675845427201", "928316675845427201")</f>
        <v/>
      </c>
      <c r="B2277" s="2" t="n">
        <v>43047.73746527778</v>
      </c>
      <c r="C2277" t="n">
        <v>1</v>
      </c>
      <c r="D2277" t="n">
        <v>0</v>
      </c>
      <c r="E2277" t="s">
        <v>2286</v>
      </c>
      <c r="F2277" t="s"/>
      <c r="G2277" t="s"/>
      <c r="H2277" t="s"/>
      <c r="I2277" t="s"/>
      <c r="J2277" t="n">
        <v>0</v>
      </c>
      <c r="K2277" t="n">
        <v>0</v>
      </c>
      <c r="L2277" t="n">
        <v>1</v>
      </c>
      <c r="M2277" t="n">
        <v>0</v>
      </c>
    </row>
    <row r="2278" spans="1:13">
      <c r="A2278" s="1">
        <f>HYPERLINK("http://www.twitter.com/NathanBLawrence/status/928278117990522880", "928278117990522880")</f>
        <v/>
      </c>
      <c r="B2278" s="2" t="n">
        <v>43047.63106481481</v>
      </c>
      <c r="C2278" t="n">
        <v>0</v>
      </c>
      <c r="D2278" t="n">
        <v>0</v>
      </c>
      <c r="E2278" t="s">
        <v>2287</v>
      </c>
      <c r="F2278" t="s"/>
      <c r="G2278" t="s"/>
      <c r="H2278" t="s"/>
      <c r="I2278" t="s"/>
      <c r="J2278" t="n">
        <v>-0.5574</v>
      </c>
      <c r="K2278" t="n">
        <v>0.375</v>
      </c>
      <c r="L2278" t="n">
        <v>0.625</v>
      </c>
      <c r="M2278" t="n">
        <v>0</v>
      </c>
    </row>
    <row r="2279" spans="1:13">
      <c r="A2279" s="1">
        <f>HYPERLINK("http://www.twitter.com/NathanBLawrence/status/928272804943945730", "928272804943945730")</f>
        <v/>
      </c>
      <c r="B2279" s="2" t="n">
        <v>43047.61640046296</v>
      </c>
      <c r="C2279" t="n">
        <v>0</v>
      </c>
      <c r="D2279" t="n">
        <v>0</v>
      </c>
      <c r="E2279" t="s">
        <v>2288</v>
      </c>
      <c r="F2279" t="s"/>
      <c r="G2279" t="s"/>
      <c r="H2279" t="s"/>
      <c r="I2279" t="s"/>
      <c r="J2279" t="n">
        <v>0.6705</v>
      </c>
      <c r="K2279" t="n">
        <v>0</v>
      </c>
      <c r="L2279" t="n">
        <v>0.732</v>
      </c>
      <c r="M2279" t="n">
        <v>0.268</v>
      </c>
    </row>
    <row r="2280" spans="1:13">
      <c r="A2280" s="1">
        <f>HYPERLINK("http://www.twitter.com/NathanBLawrence/status/928270818873921536", "928270818873921536")</f>
        <v/>
      </c>
      <c r="B2280" s="2" t="n">
        <v>43047.61092592592</v>
      </c>
      <c r="C2280" t="n">
        <v>3</v>
      </c>
      <c r="D2280" t="n">
        <v>0</v>
      </c>
      <c r="E2280" t="s">
        <v>2289</v>
      </c>
      <c r="F2280" t="s"/>
      <c r="G2280" t="s"/>
      <c r="H2280" t="s"/>
      <c r="I2280" t="s"/>
      <c r="J2280" t="n">
        <v>0</v>
      </c>
      <c r="K2280" t="n">
        <v>0</v>
      </c>
      <c r="L2280" t="n">
        <v>1</v>
      </c>
      <c r="M2280" t="n">
        <v>0</v>
      </c>
    </row>
    <row r="2281" spans="1:13">
      <c r="A2281" s="1">
        <f>HYPERLINK("http://www.twitter.com/NathanBLawrence/status/928250055596879872", "928250055596879872")</f>
        <v/>
      </c>
      <c r="B2281" s="2" t="n">
        <v>43047.55362268518</v>
      </c>
      <c r="C2281" t="n">
        <v>0</v>
      </c>
      <c r="D2281" t="n">
        <v>0</v>
      </c>
      <c r="E2281" t="s">
        <v>2290</v>
      </c>
      <c r="F2281" t="s"/>
      <c r="G2281" t="s"/>
      <c r="H2281" t="s"/>
      <c r="I2281" t="s"/>
      <c r="J2281" t="n">
        <v>0</v>
      </c>
      <c r="K2281" t="n">
        <v>0</v>
      </c>
      <c r="L2281" t="n">
        <v>1</v>
      </c>
      <c r="M2281" t="n">
        <v>0</v>
      </c>
    </row>
    <row r="2282" spans="1:13">
      <c r="A2282" s="1">
        <f>HYPERLINK("http://www.twitter.com/NathanBLawrence/status/928249644639014912", "928249644639014912")</f>
        <v/>
      </c>
      <c r="B2282" s="2" t="n">
        <v>43047.55248842593</v>
      </c>
      <c r="C2282" t="n">
        <v>0</v>
      </c>
      <c r="D2282" t="n">
        <v>4992</v>
      </c>
      <c r="E2282" t="s">
        <v>2291</v>
      </c>
      <c r="F2282">
        <f>HYPERLINK("http://pbs.twimg.com/media/DOHFBaTU8AICluG.jpg", "http://pbs.twimg.com/media/DOHFBaTU8AICluG.jpg")</f>
        <v/>
      </c>
      <c r="G2282" t="s"/>
      <c r="H2282" t="s"/>
      <c r="I2282" t="s"/>
      <c r="J2282" t="n">
        <v>0.6114000000000001</v>
      </c>
      <c r="K2282" t="n">
        <v>0</v>
      </c>
      <c r="L2282" t="n">
        <v>0.637</v>
      </c>
      <c r="M2282" t="n">
        <v>0.363</v>
      </c>
    </row>
    <row r="2283" spans="1:13">
      <c r="A2283" s="1">
        <f>HYPERLINK("http://www.twitter.com/NathanBLawrence/status/928249527961874432", "928249527961874432")</f>
        <v/>
      </c>
      <c r="B2283" s="2" t="n">
        <v>43047.55217592593</v>
      </c>
      <c r="C2283" t="n">
        <v>6</v>
      </c>
      <c r="D2283" t="n">
        <v>2</v>
      </c>
      <c r="E2283" t="s">
        <v>2292</v>
      </c>
      <c r="F2283" t="s"/>
      <c r="G2283" t="s"/>
      <c r="H2283" t="s"/>
      <c r="I2283" t="s"/>
      <c r="J2283" t="n">
        <v>0.4404</v>
      </c>
      <c r="K2283" t="n">
        <v>0</v>
      </c>
      <c r="L2283" t="n">
        <v>0.888</v>
      </c>
      <c r="M2283" t="n">
        <v>0.112</v>
      </c>
    </row>
    <row r="2284" spans="1:13">
      <c r="A2284" s="1">
        <f>HYPERLINK("http://www.twitter.com/NathanBLawrence/status/928221013078405120", "928221013078405120")</f>
        <v/>
      </c>
      <c r="B2284" s="2" t="n">
        <v>43047.4734837963</v>
      </c>
      <c r="C2284" t="n">
        <v>3</v>
      </c>
      <c r="D2284" t="n">
        <v>0</v>
      </c>
      <c r="E2284" t="s">
        <v>2293</v>
      </c>
      <c r="F2284" t="s"/>
      <c r="G2284" t="s"/>
      <c r="H2284" t="s"/>
      <c r="I2284" t="s"/>
      <c r="J2284" t="n">
        <v>0.4404</v>
      </c>
      <c r="K2284" t="n">
        <v>0.062</v>
      </c>
      <c r="L2284" t="n">
        <v>0.793</v>
      </c>
      <c r="M2284" t="n">
        <v>0.145</v>
      </c>
    </row>
    <row r="2285" spans="1:13">
      <c r="A2285" s="1">
        <f>HYPERLINK("http://www.twitter.com/NathanBLawrence/status/928105838455283712", "928105838455283712")</f>
        <v/>
      </c>
      <c r="B2285" s="2" t="n">
        <v>43047.15565972222</v>
      </c>
      <c r="C2285" t="n">
        <v>0</v>
      </c>
      <c r="D2285" t="n">
        <v>0</v>
      </c>
      <c r="E2285" t="s">
        <v>2294</v>
      </c>
      <c r="F2285" t="s"/>
      <c r="G2285" t="s"/>
      <c r="H2285" t="s"/>
      <c r="I2285" t="s"/>
      <c r="J2285" t="n">
        <v>0.2023</v>
      </c>
      <c r="K2285" t="n">
        <v>0</v>
      </c>
      <c r="L2285" t="n">
        <v>0.893</v>
      </c>
      <c r="M2285" t="n">
        <v>0.107</v>
      </c>
    </row>
    <row r="2286" spans="1:13">
      <c r="A2286" s="1">
        <f>HYPERLINK("http://www.twitter.com/NathanBLawrence/status/928104251523588096", "928104251523588096")</f>
        <v/>
      </c>
      <c r="B2286" s="2" t="n">
        <v>43047.15128472223</v>
      </c>
      <c r="C2286" t="n">
        <v>0</v>
      </c>
      <c r="D2286" t="n">
        <v>0</v>
      </c>
      <c r="E2286" t="s">
        <v>2295</v>
      </c>
      <c r="F2286" t="s"/>
      <c r="G2286" t="s"/>
      <c r="H2286" t="s"/>
      <c r="I2286" t="s"/>
      <c r="J2286" t="n">
        <v>-0.25</v>
      </c>
      <c r="K2286" t="n">
        <v>0.214</v>
      </c>
      <c r="L2286" t="n">
        <v>0.646</v>
      </c>
      <c r="M2286" t="n">
        <v>0.14</v>
      </c>
    </row>
    <row r="2287" spans="1:13">
      <c r="A2287" s="1">
        <f>HYPERLINK("http://www.twitter.com/NathanBLawrence/status/928102821198811136", "928102821198811136")</f>
        <v/>
      </c>
      <c r="B2287" s="2" t="n">
        <v>43047.14733796296</v>
      </c>
      <c r="C2287" t="n">
        <v>1</v>
      </c>
      <c r="D2287" t="n">
        <v>0</v>
      </c>
      <c r="E2287" t="s">
        <v>2296</v>
      </c>
      <c r="F2287" t="s"/>
      <c r="G2287" t="s"/>
      <c r="H2287" t="s"/>
      <c r="I2287" t="s"/>
      <c r="J2287" t="n">
        <v>0</v>
      </c>
      <c r="K2287" t="n">
        <v>0</v>
      </c>
      <c r="L2287" t="n">
        <v>1</v>
      </c>
      <c r="M2287" t="n">
        <v>0</v>
      </c>
    </row>
    <row r="2288" spans="1:13">
      <c r="A2288" s="1">
        <f>HYPERLINK("http://www.twitter.com/NathanBLawrence/status/928099918752944128", "928099918752944128")</f>
        <v/>
      </c>
      <c r="B2288" s="2" t="n">
        <v>43047.13932870371</v>
      </c>
      <c r="C2288" t="n">
        <v>0</v>
      </c>
      <c r="D2288" t="n">
        <v>0</v>
      </c>
      <c r="E2288" t="s">
        <v>2297</v>
      </c>
      <c r="F2288" t="s"/>
      <c r="G2288" t="s"/>
      <c r="H2288" t="s"/>
      <c r="I2288" t="s"/>
      <c r="J2288" t="n">
        <v>0.5859</v>
      </c>
      <c r="K2288" t="n">
        <v>0</v>
      </c>
      <c r="L2288" t="n">
        <v>0.5679999999999999</v>
      </c>
      <c r="M2288" t="n">
        <v>0.432</v>
      </c>
    </row>
    <row r="2289" spans="1:13">
      <c r="A2289" s="1">
        <f>HYPERLINK("http://www.twitter.com/NathanBLawrence/status/928078326056579072", "928078326056579072")</f>
        <v/>
      </c>
      <c r="B2289" s="2" t="n">
        <v>43047.07974537037</v>
      </c>
      <c r="C2289" t="n">
        <v>0</v>
      </c>
      <c r="D2289" t="n">
        <v>0</v>
      </c>
      <c r="E2289" t="s">
        <v>2298</v>
      </c>
      <c r="F2289" t="s"/>
      <c r="G2289" t="s"/>
      <c r="H2289" t="s"/>
      <c r="I2289" t="s"/>
      <c r="J2289" t="n">
        <v>0.7003</v>
      </c>
      <c r="K2289" t="n">
        <v>0</v>
      </c>
      <c r="L2289" t="n">
        <v>0.734</v>
      </c>
      <c r="M2289" t="n">
        <v>0.266</v>
      </c>
    </row>
    <row r="2290" spans="1:13">
      <c r="A2290" s="1">
        <f>HYPERLINK("http://www.twitter.com/NathanBLawrence/status/928075968379523072", "928075968379523072")</f>
        <v/>
      </c>
      <c r="B2290" s="2" t="n">
        <v>43047.07324074074</v>
      </c>
      <c r="C2290" t="n">
        <v>0</v>
      </c>
      <c r="D2290" t="n">
        <v>0</v>
      </c>
      <c r="E2290" t="s">
        <v>2299</v>
      </c>
      <c r="F2290">
        <f>HYPERLINK("http://pbs.twimg.com/media/DOEwIczV4AANKX6.jpg", "http://pbs.twimg.com/media/DOEwIczV4AANKX6.jpg")</f>
        <v/>
      </c>
      <c r="G2290" t="s"/>
      <c r="H2290" t="s"/>
      <c r="I2290" t="s"/>
      <c r="J2290" t="n">
        <v>0</v>
      </c>
      <c r="K2290" t="n">
        <v>0</v>
      </c>
      <c r="L2290" t="n">
        <v>1</v>
      </c>
      <c r="M2290" t="n">
        <v>0</v>
      </c>
    </row>
    <row r="2291" spans="1:13">
      <c r="A2291" s="1">
        <f>HYPERLINK("http://www.twitter.com/NathanBLawrence/status/928075700095111168", "928075700095111168")</f>
        <v/>
      </c>
      <c r="B2291" s="2" t="n">
        <v>43047.0725</v>
      </c>
      <c r="C2291" t="n">
        <v>0</v>
      </c>
      <c r="D2291" t="n">
        <v>0</v>
      </c>
      <c r="E2291" t="s">
        <v>2300</v>
      </c>
      <c r="F2291">
        <f>HYPERLINK("http://pbs.twimg.com/media/DOEv5eXVQAAjvUK.jpg", "http://pbs.twimg.com/media/DOEv5eXVQAAjvUK.jpg")</f>
        <v/>
      </c>
      <c r="G2291" t="s"/>
      <c r="H2291" t="s"/>
      <c r="I2291" t="s"/>
      <c r="J2291" t="n">
        <v>0</v>
      </c>
      <c r="K2291" t="n">
        <v>0</v>
      </c>
      <c r="L2291" t="n">
        <v>1</v>
      </c>
      <c r="M2291" t="n">
        <v>0</v>
      </c>
    </row>
    <row r="2292" spans="1:13">
      <c r="A2292" s="1">
        <f>HYPERLINK("http://www.twitter.com/NathanBLawrence/status/928074009350230017", "928074009350230017")</f>
        <v/>
      </c>
      <c r="B2292" s="2" t="n">
        <v>43047.06783564815</v>
      </c>
      <c r="C2292" t="n">
        <v>0</v>
      </c>
      <c r="D2292" t="n">
        <v>0</v>
      </c>
      <c r="E2292" t="s">
        <v>2301</v>
      </c>
      <c r="F2292" t="s"/>
      <c r="G2292" t="s"/>
      <c r="H2292" t="s"/>
      <c r="I2292" t="s"/>
      <c r="J2292" t="n">
        <v>0</v>
      </c>
      <c r="K2292" t="n">
        <v>0</v>
      </c>
      <c r="L2292" t="n">
        <v>1</v>
      </c>
      <c r="M2292" t="n">
        <v>0</v>
      </c>
    </row>
    <row r="2293" spans="1:13">
      <c r="A2293" s="1">
        <f>HYPERLINK("http://www.twitter.com/NathanBLawrence/status/928073495749316609", "928073495749316609")</f>
        <v/>
      </c>
      <c r="B2293" s="2" t="n">
        <v>43047.06641203703</v>
      </c>
      <c r="C2293" t="n">
        <v>0</v>
      </c>
      <c r="D2293" t="n">
        <v>1160</v>
      </c>
      <c r="E2293" t="s">
        <v>2302</v>
      </c>
      <c r="F2293" t="s"/>
      <c r="G2293" t="s"/>
      <c r="H2293" t="s"/>
      <c r="I2293" t="s"/>
      <c r="J2293" t="n">
        <v>-0.6249</v>
      </c>
      <c r="K2293" t="n">
        <v>0.163</v>
      </c>
      <c r="L2293" t="n">
        <v>0.837</v>
      </c>
      <c r="M2293" t="n">
        <v>0</v>
      </c>
    </row>
    <row r="2294" spans="1:13">
      <c r="A2294" s="1">
        <f>HYPERLINK("http://www.twitter.com/NathanBLawrence/status/928071774251765760", "928071774251765760")</f>
        <v/>
      </c>
      <c r="B2294" s="2" t="n">
        <v>43047.06166666667</v>
      </c>
      <c r="C2294" t="n">
        <v>1</v>
      </c>
      <c r="D2294" t="n">
        <v>2</v>
      </c>
      <c r="E2294" t="s">
        <v>2303</v>
      </c>
      <c r="F2294" t="s"/>
      <c r="G2294" t="s"/>
      <c r="H2294" t="s"/>
      <c r="I2294" t="s"/>
      <c r="J2294" t="n">
        <v>0.0258</v>
      </c>
      <c r="K2294" t="n">
        <v>0.117</v>
      </c>
      <c r="L2294" t="n">
        <v>0.759</v>
      </c>
      <c r="M2294" t="n">
        <v>0.124</v>
      </c>
    </row>
    <row r="2295" spans="1:13">
      <c r="A2295" s="1">
        <f>HYPERLINK("http://www.twitter.com/NathanBLawrence/status/928069526515847170", "928069526515847170")</f>
        <v/>
      </c>
      <c r="B2295" s="2" t="n">
        <v>43047.05546296296</v>
      </c>
      <c r="C2295" t="n">
        <v>0</v>
      </c>
      <c r="D2295" t="n">
        <v>0</v>
      </c>
      <c r="E2295" t="s">
        <v>2304</v>
      </c>
      <c r="F2295" t="s"/>
      <c r="G2295" t="s"/>
      <c r="H2295" t="s"/>
      <c r="I2295" t="s"/>
      <c r="J2295" t="n">
        <v>0.7871</v>
      </c>
      <c r="K2295" t="n">
        <v>0.049</v>
      </c>
      <c r="L2295" t="n">
        <v>0.64</v>
      </c>
      <c r="M2295" t="n">
        <v>0.311</v>
      </c>
    </row>
    <row r="2296" spans="1:13">
      <c r="A2296" s="1">
        <f>HYPERLINK("http://www.twitter.com/NathanBLawrence/status/928063513448402945", "928063513448402945")</f>
        <v/>
      </c>
      <c r="B2296" s="2" t="n">
        <v>43047.03886574074</v>
      </c>
      <c r="C2296" t="n">
        <v>0</v>
      </c>
      <c r="D2296" t="n">
        <v>0</v>
      </c>
      <c r="E2296" t="s">
        <v>2305</v>
      </c>
      <c r="F2296">
        <f>HYPERLINK("http://pbs.twimg.com/media/DOEk13HUMAEBlQ0.jpg", "http://pbs.twimg.com/media/DOEk13HUMAEBlQ0.jpg")</f>
        <v/>
      </c>
      <c r="G2296" t="s"/>
      <c r="H2296" t="s"/>
      <c r="I2296" t="s"/>
      <c r="J2296" t="n">
        <v>-0.4215</v>
      </c>
      <c r="K2296" t="n">
        <v>0.29</v>
      </c>
      <c r="L2296" t="n">
        <v>0.6</v>
      </c>
      <c r="M2296" t="n">
        <v>0.11</v>
      </c>
    </row>
    <row r="2297" spans="1:13">
      <c r="A2297" s="1">
        <f>HYPERLINK("http://www.twitter.com/NathanBLawrence/status/928050941949042689", "928050941949042689")</f>
        <v/>
      </c>
      <c r="B2297" s="2" t="n">
        <v>43047.00417824074</v>
      </c>
      <c r="C2297" t="n">
        <v>1</v>
      </c>
      <c r="D2297" t="n">
        <v>0</v>
      </c>
      <c r="E2297" t="s">
        <v>2306</v>
      </c>
      <c r="F2297" t="s"/>
      <c r="G2297" t="s"/>
      <c r="H2297" t="s"/>
      <c r="I2297" t="s"/>
      <c r="J2297" t="n">
        <v>0.3382</v>
      </c>
      <c r="K2297" t="n">
        <v>0</v>
      </c>
      <c r="L2297" t="n">
        <v>0.821</v>
      </c>
      <c r="M2297" t="n">
        <v>0.179</v>
      </c>
    </row>
    <row r="2298" spans="1:13">
      <c r="A2298" s="1">
        <f>HYPERLINK("http://www.twitter.com/NathanBLawrence/status/927903687820931072", "927903687820931072")</f>
        <v/>
      </c>
      <c r="B2298" s="2" t="n">
        <v>43046.59783564815</v>
      </c>
      <c r="C2298" t="n">
        <v>0</v>
      </c>
      <c r="D2298" t="n">
        <v>0</v>
      </c>
      <c r="E2298" t="s">
        <v>2307</v>
      </c>
      <c r="F2298" t="s"/>
      <c r="G2298" t="s"/>
      <c r="H2298" t="s"/>
      <c r="I2298" t="s"/>
      <c r="J2298" t="n">
        <v>0.5229</v>
      </c>
      <c r="K2298" t="n">
        <v>0.171</v>
      </c>
      <c r="L2298" t="n">
        <v>0.367</v>
      </c>
      <c r="M2298" t="n">
        <v>0.462</v>
      </c>
    </row>
    <row r="2299" spans="1:13">
      <c r="A2299" s="1">
        <f>HYPERLINK("http://www.twitter.com/NathanBLawrence/status/927903409344335873", "927903409344335873")</f>
        <v/>
      </c>
      <c r="B2299" s="2" t="n">
        <v>43046.59707175926</v>
      </c>
      <c r="C2299" t="n">
        <v>0</v>
      </c>
      <c r="D2299" t="n">
        <v>0</v>
      </c>
      <c r="E2299" t="s">
        <v>2308</v>
      </c>
      <c r="F2299" t="s"/>
      <c r="G2299" t="s"/>
      <c r="H2299" t="s"/>
      <c r="I2299" t="s"/>
      <c r="J2299" t="n">
        <v>0.7243000000000001</v>
      </c>
      <c r="K2299" t="n">
        <v>0</v>
      </c>
      <c r="L2299" t="n">
        <v>0.72</v>
      </c>
      <c r="M2299" t="n">
        <v>0.28</v>
      </c>
    </row>
    <row r="2300" spans="1:13">
      <c r="A2300" s="1">
        <f>HYPERLINK("http://www.twitter.com/NathanBLawrence/status/927891724097196032", "927891724097196032")</f>
        <v/>
      </c>
      <c r="B2300" s="2" t="n">
        <v>43046.56482638889</v>
      </c>
      <c r="C2300" t="n">
        <v>0</v>
      </c>
      <c r="D2300" t="n">
        <v>1963</v>
      </c>
      <c r="E2300" t="s">
        <v>2309</v>
      </c>
      <c r="F2300" t="s"/>
      <c r="G2300" t="s"/>
      <c r="H2300" t="s"/>
      <c r="I2300" t="s"/>
      <c r="J2300" t="n">
        <v>0</v>
      </c>
      <c r="K2300" t="n">
        <v>0</v>
      </c>
      <c r="L2300" t="n">
        <v>1</v>
      </c>
      <c r="M2300" t="n">
        <v>0</v>
      </c>
    </row>
    <row r="2301" spans="1:13">
      <c r="A2301" s="1">
        <f>HYPERLINK("http://www.twitter.com/NathanBLawrence/status/927723223998967808", "927723223998967808")</f>
        <v/>
      </c>
      <c r="B2301" s="2" t="n">
        <v>43046.09984953704</v>
      </c>
      <c r="C2301" t="n">
        <v>0</v>
      </c>
      <c r="D2301" t="n">
        <v>0</v>
      </c>
      <c r="E2301" t="s">
        <v>2310</v>
      </c>
      <c r="F2301" t="s"/>
      <c r="G2301" t="s"/>
      <c r="H2301" t="s"/>
      <c r="I2301" t="s"/>
      <c r="J2301" t="n">
        <v>-0.2023</v>
      </c>
      <c r="K2301" t="n">
        <v>0.109</v>
      </c>
      <c r="L2301" t="n">
        <v>0.8070000000000001</v>
      </c>
      <c r="M2301" t="n">
        <v>0.08400000000000001</v>
      </c>
    </row>
    <row r="2302" spans="1:13">
      <c r="A2302" s="1">
        <f>HYPERLINK("http://www.twitter.com/NathanBLawrence/status/927647453767233537", "927647453767233537")</f>
        <v/>
      </c>
      <c r="B2302" s="2" t="n">
        <v>43045.89076388889</v>
      </c>
      <c r="C2302" t="n">
        <v>0</v>
      </c>
      <c r="D2302" t="n">
        <v>2</v>
      </c>
      <c r="E2302" t="s">
        <v>2311</v>
      </c>
      <c r="F2302" t="s"/>
      <c r="G2302" t="s"/>
      <c r="H2302" t="s"/>
      <c r="I2302" t="s"/>
      <c r="J2302" t="n">
        <v>0.6486</v>
      </c>
      <c r="K2302" t="n">
        <v>0</v>
      </c>
      <c r="L2302" t="n">
        <v>0.71</v>
      </c>
      <c r="M2302" t="n">
        <v>0.29</v>
      </c>
    </row>
    <row r="2303" spans="1:13">
      <c r="A2303" s="1">
        <f>HYPERLINK("http://www.twitter.com/NathanBLawrence/status/927537265831743488", "927537265831743488")</f>
        <v/>
      </c>
      <c r="B2303" s="2" t="n">
        <v>43045.58670138889</v>
      </c>
      <c r="C2303" t="n">
        <v>1</v>
      </c>
      <c r="D2303" t="n">
        <v>0</v>
      </c>
      <c r="E2303" t="s">
        <v>2312</v>
      </c>
      <c r="F2303" t="s"/>
      <c r="G2303" t="s"/>
      <c r="H2303" t="s"/>
      <c r="I2303" t="s"/>
      <c r="J2303" t="n">
        <v>-0.6597</v>
      </c>
      <c r="K2303" t="n">
        <v>0.524</v>
      </c>
      <c r="L2303" t="n">
        <v>0.476</v>
      </c>
      <c r="M2303" t="n">
        <v>0</v>
      </c>
    </row>
    <row r="2304" spans="1:13">
      <c r="A2304" s="1">
        <f>HYPERLINK("http://www.twitter.com/NathanBLawrence/status/927534486308507649", "927534486308507649")</f>
        <v/>
      </c>
      <c r="B2304" s="2" t="n">
        <v>43045.57902777778</v>
      </c>
      <c r="C2304" t="n">
        <v>0</v>
      </c>
      <c r="D2304" t="n">
        <v>0</v>
      </c>
      <c r="E2304" t="s">
        <v>2313</v>
      </c>
      <c r="F2304" t="s"/>
      <c r="G2304" t="s"/>
      <c r="H2304" t="s"/>
      <c r="I2304" t="s"/>
      <c r="J2304" t="n">
        <v>0</v>
      </c>
      <c r="K2304" t="n">
        <v>0</v>
      </c>
      <c r="L2304" t="n">
        <v>1</v>
      </c>
      <c r="M2304" t="n">
        <v>0</v>
      </c>
    </row>
    <row r="2305" spans="1:13">
      <c r="A2305" s="1">
        <f>HYPERLINK("http://www.twitter.com/NathanBLawrence/status/927531533036085248", "927531533036085248")</f>
        <v/>
      </c>
      <c r="B2305" s="2" t="n">
        <v>43045.57087962963</v>
      </c>
      <c r="C2305" t="n">
        <v>0</v>
      </c>
      <c r="D2305" t="n">
        <v>0</v>
      </c>
      <c r="E2305" t="s">
        <v>2314</v>
      </c>
      <c r="F2305" t="s"/>
      <c r="G2305" t="s"/>
      <c r="H2305" t="s"/>
      <c r="I2305" t="s"/>
      <c r="J2305" t="n">
        <v>-0.3374</v>
      </c>
      <c r="K2305" t="n">
        <v>0.193</v>
      </c>
      <c r="L2305" t="n">
        <v>0.721</v>
      </c>
      <c r="M2305" t="n">
        <v>0.08599999999999999</v>
      </c>
    </row>
    <row r="2306" spans="1:13">
      <c r="A2306" s="1">
        <f>HYPERLINK("http://www.twitter.com/NathanBLawrence/status/927530900799311872", "927530900799311872")</f>
        <v/>
      </c>
      <c r="B2306" s="2" t="n">
        <v>43045.56914351852</v>
      </c>
      <c r="C2306" t="n">
        <v>1</v>
      </c>
      <c r="D2306" t="n">
        <v>0</v>
      </c>
      <c r="E2306" t="s">
        <v>2315</v>
      </c>
      <c r="F2306" t="s"/>
      <c r="G2306" t="s"/>
      <c r="H2306" t="s"/>
      <c r="I2306" t="s"/>
      <c r="J2306" t="n">
        <v>0.7096</v>
      </c>
      <c r="K2306" t="n">
        <v>0</v>
      </c>
      <c r="L2306" t="n">
        <v>0.742</v>
      </c>
      <c r="M2306" t="n">
        <v>0.258</v>
      </c>
    </row>
    <row r="2307" spans="1:13">
      <c r="A2307" s="1">
        <f>HYPERLINK("http://www.twitter.com/NathanBLawrence/status/927521461065146370", "927521461065146370")</f>
        <v/>
      </c>
      <c r="B2307" s="2" t="n">
        <v>43045.54309027778</v>
      </c>
      <c r="C2307" t="n">
        <v>1</v>
      </c>
      <c r="D2307" t="n">
        <v>0</v>
      </c>
      <c r="E2307" t="s">
        <v>2316</v>
      </c>
      <c r="F2307" t="s"/>
      <c r="G2307" t="s"/>
      <c r="H2307" t="s"/>
      <c r="I2307" t="s"/>
      <c r="J2307" t="n">
        <v>0.6369</v>
      </c>
      <c r="K2307" t="n">
        <v>0</v>
      </c>
      <c r="L2307" t="n">
        <v>0.819</v>
      </c>
      <c r="M2307" t="n">
        <v>0.181</v>
      </c>
    </row>
    <row r="2308" spans="1:13">
      <c r="A2308" s="1">
        <f>HYPERLINK("http://www.twitter.com/NathanBLawrence/status/927365401369022464", "927365401369022464")</f>
        <v/>
      </c>
      <c r="B2308" s="2" t="n">
        <v>43045.11244212963</v>
      </c>
      <c r="C2308" t="n">
        <v>3</v>
      </c>
      <c r="D2308" t="n">
        <v>1</v>
      </c>
      <c r="E2308" t="s">
        <v>2317</v>
      </c>
      <c r="F2308" t="s"/>
      <c r="G2308" t="s"/>
      <c r="H2308" t="s"/>
      <c r="I2308" t="s"/>
      <c r="J2308" t="n">
        <v>0</v>
      </c>
      <c r="K2308" t="n">
        <v>0</v>
      </c>
      <c r="L2308" t="n">
        <v>1</v>
      </c>
      <c r="M2308" t="n">
        <v>0</v>
      </c>
    </row>
    <row r="2309" spans="1:13">
      <c r="A2309" s="1">
        <f>HYPERLINK("http://www.twitter.com/NathanBLawrence/status/927351442943377409", "927351442943377409")</f>
        <v/>
      </c>
      <c r="B2309" s="2" t="n">
        <v>43045.07393518519</v>
      </c>
      <c r="C2309" t="n">
        <v>0</v>
      </c>
      <c r="D2309" t="n">
        <v>0</v>
      </c>
      <c r="E2309" t="s">
        <v>2318</v>
      </c>
      <c r="F2309" t="s"/>
      <c r="G2309" t="s"/>
      <c r="H2309" t="s"/>
      <c r="I2309" t="s"/>
      <c r="J2309" t="n">
        <v>0.1779</v>
      </c>
      <c r="K2309" t="n">
        <v>0</v>
      </c>
      <c r="L2309" t="n">
        <v>0.898</v>
      </c>
      <c r="M2309" t="n">
        <v>0.102</v>
      </c>
    </row>
    <row r="2310" spans="1:13">
      <c r="A2310" s="1">
        <f>HYPERLINK("http://www.twitter.com/NathanBLawrence/status/927344956800491521", "927344956800491521")</f>
        <v/>
      </c>
      <c r="B2310" s="2" t="n">
        <v>43045.05603009259</v>
      </c>
      <c r="C2310" t="n">
        <v>0</v>
      </c>
      <c r="D2310" t="n">
        <v>7</v>
      </c>
      <c r="E2310" t="s">
        <v>2319</v>
      </c>
      <c r="F2310">
        <f>HYPERLINK("http://pbs.twimg.com/media/DN6UvkNUIAANLXP.jpg", "http://pbs.twimg.com/media/DN6UvkNUIAANLXP.jpg")</f>
        <v/>
      </c>
      <c r="G2310" t="s"/>
      <c r="H2310" t="s"/>
      <c r="I2310" t="s"/>
      <c r="J2310" t="n">
        <v>0</v>
      </c>
      <c r="K2310" t="n">
        <v>0</v>
      </c>
      <c r="L2310" t="n">
        <v>1</v>
      </c>
      <c r="M2310" t="n">
        <v>0</v>
      </c>
    </row>
    <row r="2311" spans="1:13">
      <c r="A2311" s="1">
        <f>HYPERLINK("http://www.twitter.com/NathanBLawrence/status/927269181149581312", "927269181149581312")</f>
        <v/>
      </c>
      <c r="B2311" s="2" t="n">
        <v>43044.84693287037</v>
      </c>
      <c r="C2311" t="n">
        <v>0</v>
      </c>
      <c r="D2311" t="n">
        <v>0</v>
      </c>
      <c r="E2311" t="s">
        <v>2320</v>
      </c>
      <c r="F2311" t="s"/>
      <c r="G2311" t="s"/>
      <c r="H2311" t="s"/>
      <c r="I2311" t="s"/>
      <c r="J2311" t="n">
        <v>0</v>
      </c>
      <c r="K2311" t="n">
        <v>0</v>
      </c>
      <c r="L2311" t="n">
        <v>1</v>
      </c>
      <c r="M2311" t="n">
        <v>0</v>
      </c>
    </row>
    <row r="2312" spans="1:13">
      <c r="A2312" s="1">
        <f>HYPERLINK("http://www.twitter.com/NathanBLawrence/status/927266565820702720", "927266565820702720")</f>
        <v/>
      </c>
      <c r="B2312" s="2" t="n">
        <v>43044.83971064815</v>
      </c>
      <c r="C2312" t="n">
        <v>0</v>
      </c>
      <c r="D2312" t="n">
        <v>38533</v>
      </c>
      <c r="E2312" t="s">
        <v>2321</v>
      </c>
      <c r="F2312" t="s"/>
      <c r="G2312" t="s"/>
      <c r="H2312" t="s"/>
      <c r="I2312" t="s"/>
      <c r="J2312" t="n">
        <v>0.2732</v>
      </c>
      <c r="K2312" t="n">
        <v>0</v>
      </c>
      <c r="L2312" t="n">
        <v>0.916</v>
      </c>
      <c r="M2312" t="n">
        <v>0.08400000000000001</v>
      </c>
    </row>
    <row r="2313" spans="1:13">
      <c r="A2313" s="1">
        <f>HYPERLINK("http://www.twitter.com/NathanBLawrence/status/927265689253105665", "927265689253105665")</f>
        <v/>
      </c>
      <c r="B2313" s="2" t="n">
        <v>43044.83729166666</v>
      </c>
      <c r="C2313" t="n">
        <v>0</v>
      </c>
      <c r="D2313" t="n">
        <v>0</v>
      </c>
      <c r="E2313" t="s">
        <v>2322</v>
      </c>
      <c r="F2313" t="s"/>
      <c r="G2313" t="s"/>
      <c r="H2313" t="s"/>
      <c r="I2313" t="s"/>
      <c r="J2313" t="n">
        <v>0</v>
      </c>
      <c r="K2313" t="n">
        <v>0</v>
      </c>
      <c r="L2313" t="n">
        <v>1</v>
      </c>
      <c r="M2313" t="n">
        <v>0</v>
      </c>
    </row>
    <row r="2314" spans="1:13">
      <c r="A2314" s="1">
        <f>HYPERLINK("http://www.twitter.com/NathanBLawrence/status/927252653368803328", "927252653368803328")</f>
        <v/>
      </c>
      <c r="B2314" s="2" t="n">
        <v>43044.80131944444</v>
      </c>
      <c r="C2314" t="n">
        <v>0</v>
      </c>
      <c r="D2314" t="n">
        <v>0</v>
      </c>
      <c r="E2314" t="s">
        <v>2323</v>
      </c>
      <c r="F2314" t="s"/>
      <c r="G2314" t="s"/>
      <c r="H2314" t="s"/>
      <c r="I2314" t="s"/>
      <c r="J2314" t="n">
        <v>0.2023</v>
      </c>
      <c r="K2314" t="n">
        <v>0</v>
      </c>
      <c r="L2314" t="n">
        <v>0.8159999999999999</v>
      </c>
      <c r="M2314" t="n">
        <v>0.184</v>
      </c>
    </row>
    <row r="2315" spans="1:13">
      <c r="A2315" s="1">
        <f>HYPERLINK("http://www.twitter.com/NathanBLawrence/status/927249355328970752", "927249355328970752")</f>
        <v/>
      </c>
      <c r="B2315" s="2" t="n">
        <v>43044.79222222222</v>
      </c>
      <c r="C2315" t="n">
        <v>0</v>
      </c>
      <c r="D2315" t="n">
        <v>0</v>
      </c>
      <c r="E2315" t="s">
        <v>2324</v>
      </c>
      <c r="F2315" t="s"/>
      <c r="G2315" t="s"/>
      <c r="H2315" t="s"/>
      <c r="I2315" t="s"/>
      <c r="J2315" t="n">
        <v>0</v>
      </c>
      <c r="K2315" t="n">
        <v>0</v>
      </c>
      <c r="L2315" t="n">
        <v>1</v>
      </c>
      <c r="M2315" t="n">
        <v>0</v>
      </c>
    </row>
    <row r="2316" spans="1:13">
      <c r="A2316" s="1">
        <f>HYPERLINK("http://www.twitter.com/NathanBLawrence/status/927240892192346114", "927240892192346114")</f>
        <v/>
      </c>
      <c r="B2316" s="2" t="n">
        <v>43044.76886574074</v>
      </c>
      <c r="C2316" t="n">
        <v>0</v>
      </c>
      <c r="D2316" t="n">
        <v>0</v>
      </c>
      <c r="E2316" t="s">
        <v>2325</v>
      </c>
      <c r="F2316" t="s"/>
      <c r="G2316" t="s"/>
      <c r="H2316" t="s"/>
      <c r="I2316" t="s"/>
      <c r="J2316" t="n">
        <v>0.4019</v>
      </c>
      <c r="K2316" t="n">
        <v>0</v>
      </c>
      <c r="L2316" t="n">
        <v>0.722</v>
      </c>
      <c r="M2316" t="n">
        <v>0.278</v>
      </c>
    </row>
    <row r="2317" spans="1:13">
      <c r="A2317" s="1">
        <f>HYPERLINK("http://www.twitter.com/NathanBLawrence/status/927193999160610817", "927193999160610817")</f>
        <v/>
      </c>
      <c r="B2317" s="2" t="n">
        <v>43044.63946759259</v>
      </c>
      <c r="C2317" t="n">
        <v>2</v>
      </c>
      <c r="D2317" t="n">
        <v>0</v>
      </c>
      <c r="E2317" t="s">
        <v>2326</v>
      </c>
      <c r="F2317" t="s"/>
      <c r="G2317" t="s"/>
      <c r="H2317" t="s"/>
      <c r="I2317" t="s"/>
      <c r="J2317" t="n">
        <v>-0.0762</v>
      </c>
      <c r="K2317" t="n">
        <v>0.08</v>
      </c>
      <c r="L2317" t="n">
        <v>0.92</v>
      </c>
      <c r="M2317" t="n">
        <v>0</v>
      </c>
    </row>
    <row r="2318" spans="1:13">
      <c r="A2318" s="1">
        <f>HYPERLINK("http://www.twitter.com/NathanBLawrence/status/926885705787367428", "926885705787367428")</f>
        <v/>
      </c>
      <c r="B2318" s="2" t="n">
        <v>43043.78873842592</v>
      </c>
      <c r="C2318" t="n">
        <v>2</v>
      </c>
      <c r="D2318" t="n">
        <v>0</v>
      </c>
      <c r="E2318" t="s">
        <v>2327</v>
      </c>
      <c r="F2318" t="s"/>
      <c r="G2318" t="s"/>
      <c r="H2318" t="s"/>
      <c r="I2318" t="s"/>
      <c r="J2318" t="n">
        <v>0</v>
      </c>
      <c r="K2318" t="n">
        <v>0</v>
      </c>
      <c r="L2318" t="n">
        <v>1</v>
      </c>
      <c r="M2318" t="n">
        <v>0</v>
      </c>
    </row>
    <row r="2319" spans="1:13">
      <c r="A2319" s="1">
        <f>HYPERLINK("http://www.twitter.com/NathanBLawrence/status/926836529657507840", "926836529657507840")</f>
        <v/>
      </c>
      <c r="B2319" s="2" t="n">
        <v>43043.65304398148</v>
      </c>
      <c r="C2319" t="n">
        <v>1</v>
      </c>
      <c r="D2319" t="n">
        <v>0</v>
      </c>
      <c r="E2319" t="s">
        <v>2328</v>
      </c>
      <c r="F2319">
        <f>HYPERLINK("http://pbs.twimg.com/media/DNzI6FKVQAI8Fte.jpg", "http://pbs.twimg.com/media/DNzI6FKVQAI8Fte.jpg")</f>
        <v/>
      </c>
      <c r="G2319" t="s"/>
      <c r="H2319" t="s"/>
      <c r="I2319" t="s"/>
      <c r="J2319" t="n">
        <v>0.1695</v>
      </c>
      <c r="K2319" t="n">
        <v>0</v>
      </c>
      <c r="L2319" t="n">
        <v>0.828</v>
      </c>
      <c r="M2319" t="n">
        <v>0.172</v>
      </c>
    </row>
    <row r="2320" spans="1:13">
      <c r="A2320" s="1">
        <f>HYPERLINK("http://www.twitter.com/NathanBLawrence/status/926502745623945216", "926502745623945216")</f>
        <v/>
      </c>
      <c r="B2320" s="2" t="n">
        <v>43042.73196759259</v>
      </c>
      <c r="C2320" t="n">
        <v>0</v>
      </c>
      <c r="D2320" t="n">
        <v>1</v>
      </c>
      <c r="E2320" t="s">
        <v>2329</v>
      </c>
      <c r="F2320">
        <f>HYPERLINK("http://pbs.twimg.com/media/DNuZVOhUQAEm3dg.jpg", "http://pbs.twimg.com/media/DNuZVOhUQAEm3dg.jpg")</f>
        <v/>
      </c>
      <c r="G2320" t="s"/>
      <c r="H2320" t="s"/>
      <c r="I2320" t="s"/>
      <c r="J2320" t="n">
        <v>0</v>
      </c>
      <c r="K2320" t="n">
        <v>0</v>
      </c>
      <c r="L2320" t="n">
        <v>1</v>
      </c>
      <c r="M2320" t="n">
        <v>0</v>
      </c>
    </row>
    <row r="2321" spans="1:13">
      <c r="A2321" s="1">
        <f>HYPERLINK("http://www.twitter.com/NathanBLawrence/status/926495058643374080", "926495058643374080")</f>
        <v/>
      </c>
      <c r="B2321" s="2" t="n">
        <v>43042.71076388889</v>
      </c>
      <c r="C2321" t="n">
        <v>0</v>
      </c>
      <c r="D2321" t="n">
        <v>35535</v>
      </c>
      <c r="E2321" t="s">
        <v>2330</v>
      </c>
      <c r="F2321" t="s"/>
      <c r="G2321" t="s"/>
      <c r="H2321" t="s"/>
      <c r="I2321" t="s"/>
      <c r="J2321" t="n">
        <v>-0.4939</v>
      </c>
      <c r="K2321" t="n">
        <v>0.151</v>
      </c>
      <c r="L2321" t="n">
        <v>0.849</v>
      </c>
      <c r="M2321" t="n">
        <v>0</v>
      </c>
    </row>
    <row r="2322" spans="1:13">
      <c r="A2322" s="1">
        <f>HYPERLINK("http://www.twitter.com/NathanBLawrence/status/926483866273107968", "926483866273107968")</f>
        <v/>
      </c>
      <c r="B2322" s="2" t="n">
        <v>43042.67987268518</v>
      </c>
      <c r="C2322" t="n">
        <v>2</v>
      </c>
      <c r="D2322" t="n">
        <v>0</v>
      </c>
      <c r="E2322" t="s">
        <v>2331</v>
      </c>
      <c r="F2322" t="s"/>
      <c r="G2322" t="s"/>
      <c r="H2322" t="s"/>
      <c r="I2322" t="s"/>
      <c r="J2322" t="n">
        <v>0</v>
      </c>
      <c r="K2322" t="n">
        <v>0</v>
      </c>
      <c r="L2322" t="n">
        <v>1</v>
      </c>
      <c r="M2322" t="n">
        <v>0</v>
      </c>
    </row>
    <row r="2323" spans="1:13">
      <c r="A2323" s="1">
        <f>HYPERLINK("http://www.twitter.com/NathanBLawrence/status/926462177892020224", "926462177892020224")</f>
        <v/>
      </c>
      <c r="B2323" s="2" t="n">
        <v>43042.62002314815</v>
      </c>
      <c r="C2323" t="n">
        <v>0</v>
      </c>
      <c r="D2323" t="n">
        <v>0</v>
      </c>
      <c r="E2323" t="s">
        <v>2332</v>
      </c>
      <c r="F2323" t="s"/>
      <c r="G2323" t="s"/>
      <c r="H2323" t="s"/>
      <c r="I2323" t="s"/>
      <c r="J2323" t="n">
        <v>0.4404</v>
      </c>
      <c r="K2323" t="n">
        <v>0</v>
      </c>
      <c r="L2323" t="n">
        <v>0.707</v>
      </c>
      <c r="M2323" t="n">
        <v>0.293</v>
      </c>
    </row>
    <row r="2324" spans="1:13">
      <c r="A2324" s="1">
        <f>HYPERLINK("http://www.twitter.com/NathanBLawrence/status/926441551965884416", "926441551965884416")</f>
        <v/>
      </c>
      <c r="B2324" s="2" t="n">
        <v>43042.56311342592</v>
      </c>
      <c r="C2324" t="n">
        <v>1</v>
      </c>
      <c r="D2324" t="n">
        <v>0</v>
      </c>
      <c r="E2324" t="s">
        <v>2333</v>
      </c>
      <c r="F2324" t="s"/>
      <c r="G2324" t="s"/>
      <c r="H2324" t="s"/>
      <c r="I2324" t="s"/>
      <c r="J2324" t="n">
        <v>0.5951</v>
      </c>
      <c r="K2324" t="n">
        <v>0.09</v>
      </c>
      <c r="L2324" t="n">
        <v>0.603</v>
      </c>
      <c r="M2324" t="n">
        <v>0.307</v>
      </c>
    </row>
    <row r="2325" spans="1:13">
      <c r="A2325" s="1">
        <f>HYPERLINK("http://www.twitter.com/NathanBLawrence/status/926435839386832897", "926435839386832897")</f>
        <v/>
      </c>
      <c r="B2325" s="2" t="n">
        <v>43042.54734953704</v>
      </c>
      <c r="C2325" t="n">
        <v>0</v>
      </c>
      <c r="D2325" t="n">
        <v>0</v>
      </c>
      <c r="E2325" t="s">
        <v>2334</v>
      </c>
      <c r="F2325" t="s"/>
      <c r="G2325" t="s"/>
      <c r="H2325" t="s"/>
      <c r="I2325" t="s"/>
      <c r="J2325" t="n">
        <v>0</v>
      </c>
      <c r="K2325" t="n">
        <v>0</v>
      </c>
      <c r="L2325" t="n">
        <v>1</v>
      </c>
      <c r="M2325" t="n">
        <v>0</v>
      </c>
    </row>
    <row r="2326" spans="1:13">
      <c r="A2326" s="1">
        <f>HYPERLINK("http://www.twitter.com/NathanBLawrence/status/926284344771121152", "926284344771121152")</f>
        <v/>
      </c>
      <c r="B2326" s="2" t="n">
        <v>43042.12929398148</v>
      </c>
      <c r="C2326" t="n">
        <v>0</v>
      </c>
      <c r="D2326" t="n">
        <v>0</v>
      </c>
      <c r="E2326" t="s">
        <v>2335</v>
      </c>
      <c r="F2326" t="s"/>
      <c r="G2326" t="s"/>
      <c r="H2326" t="s"/>
      <c r="I2326" t="s"/>
      <c r="J2326" t="n">
        <v>0</v>
      </c>
      <c r="K2326" t="n">
        <v>0</v>
      </c>
      <c r="L2326" t="n">
        <v>1</v>
      </c>
      <c r="M2326" t="n">
        <v>0</v>
      </c>
    </row>
    <row r="2327" spans="1:13">
      <c r="A2327" s="1">
        <f>HYPERLINK("http://www.twitter.com/NathanBLawrence/status/926177830446206976", "926177830446206976")</f>
        <v/>
      </c>
      <c r="B2327" s="2" t="n">
        <v>43041.83537037037</v>
      </c>
      <c r="C2327" t="n">
        <v>0</v>
      </c>
      <c r="D2327" t="n">
        <v>0</v>
      </c>
      <c r="E2327" t="s">
        <v>2336</v>
      </c>
      <c r="F2327" t="s"/>
      <c r="G2327" t="s"/>
      <c r="H2327" t="s"/>
      <c r="I2327" t="s"/>
      <c r="J2327" t="n">
        <v>-0.5994</v>
      </c>
      <c r="K2327" t="n">
        <v>0.245</v>
      </c>
      <c r="L2327" t="n">
        <v>0.755</v>
      </c>
      <c r="M2327" t="n">
        <v>0</v>
      </c>
    </row>
    <row r="2328" spans="1:13">
      <c r="A2328" s="1">
        <f>HYPERLINK("http://www.twitter.com/NathanBLawrence/status/926161476536160256", "926161476536160256")</f>
        <v/>
      </c>
      <c r="B2328" s="2" t="n">
        <v>43041.79024305556</v>
      </c>
      <c r="C2328" t="n">
        <v>0</v>
      </c>
      <c r="D2328" t="n">
        <v>0</v>
      </c>
      <c r="E2328" t="s">
        <v>2337</v>
      </c>
      <c r="F2328" t="s"/>
      <c r="G2328" t="s"/>
      <c r="H2328" t="s"/>
      <c r="I2328" t="s"/>
      <c r="J2328" t="n">
        <v>0.3612</v>
      </c>
      <c r="K2328" t="n">
        <v>0</v>
      </c>
      <c r="L2328" t="n">
        <v>0.857</v>
      </c>
      <c r="M2328" t="n">
        <v>0.143</v>
      </c>
    </row>
    <row r="2329" spans="1:13">
      <c r="A2329" s="1">
        <f>HYPERLINK("http://www.twitter.com/NathanBLawrence/status/926144648510410753", "926144648510410753")</f>
        <v/>
      </c>
      <c r="B2329" s="2" t="n">
        <v>43041.74380787037</v>
      </c>
      <c r="C2329" t="n">
        <v>1</v>
      </c>
      <c r="D2329" t="n">
        <v>0</v>
      </c>
      <c r="E2329" t="s">
        <v>2338</v>
      </c>
      <c r="F2329" t="s"/>
      <c r="G2329" t="s"/>
      <c r="H2329" t="s"/>
      <c r="I2329" t="s"/>
      <c r="J2329" t="n">
        <v>0.7717000000000001</v>
      </c>
      <c r="K2329" t="n">
        <v>0</v>
      </c>
      <c r="L2329" t="n">
        <v>0.722</v>
      </c>
      <c r="M2329" t="n">
        <v>0.278</v>
      </c>
    </row>
    <row r="2330" spans="1:13">
      <c r="A2330" s="1">
        <f>HYPERLINK("http://www.twitter.com/NathanBLawrence/status/926121887280828416", "926121887280828416")</f>
        <v/>
      </c>
      <c r="B2330" s="2" t="n">
        <v>43041.68100694445</v>
      </c>
      <c r="C2330" t="n">
        <v>0</v>
      </c>
      <c r="D2330" t="n">
        <v>4</v>
      </c>
      <c r="E2330" t="s">
        <v>2339</v>
      </c>
      <c r="F2330">
        <f>HYPERLINK("http://pbs.twimg.com/media/DNo-BTpX4AEi5fH.jpg", "http://pbs.twimg.com/media/DNo-BTpX4AEi5fH.jpg")</f>
        <v/>
      </c>
      <c r="G2330">
        <f>HYPERLINK("http://pbs.twimg.com/media/DNo-BT6WAAAFjJW.jpg", "http://pbs.twimg.com/media/DNo-BT6WAAAFjJW.jpg")</f>
        <v/>
      </c>
      <c r="H2330" t="s"/>
      <c r="I2330" t="s"/>
      <c r="J2330" t="n">
        <v>0.1779</v>
      </c>
      <c r="K2330" t="n">
        <v>0.063</v>
      </c>
      <c r="L2330" t="n">
        <v>0.844</v>
      </c>
      <c r="M2330" t="n">
        <v>0.093</v>
      </c>
    </row>
    <row r="2331" spans="1:13">
      <c r="A2331" s="1">
        <f>HYPERLINK("http://www.twitter.com/NathanBLawrence/status/926063911891238913", "926063911891238913")</f>
        <v/>
      </c>
      <c r="B2331" s="2" t="n">
        <v>43041.52101851852</v>
      </c>
      <c r="C2331" t="n">
        <v>1</v>
      </c>
      <c r="D2331" t="n">
        <v>0</v>
      </c>
      <c r="E2331" t="s">
        <v>2340</v>
      </c>
      <c r="F2331" t="s"/>
      <c r="G2331" t="s"/>
      <c r="H2331" t="s"/>
      <c r="I2331" t="s"/>
      <c r="J2331" t="n">
        <v>0.0258</v>
      </c>
      <c r="K2331" t="n">
        <v>0.208</v>
      </c>
      <c r="L2331" t="n">
        <v>0.578</v>
      </c>
      <c r="M2331" t="n">
        <v>0.214</v>
      </c>
    </row>
    <row r="2332" spans="1:13">
      <c r="A2332" s="1">
        <f>HYPERLINK("http://www.twitter.com/NathanBLawrence/status/925892159181639682", "925892159181639682")</f>
        <v/>
      </c>
      <c r="B2332" s="2" t="n">
        <v>43041.04707175926</v>
      </c>
      <c r="C2332" t="n">
        <v>1</v>
      </c>
      <c r="D2332" t="n">
        <v>1</v>
      </c>
      <c r="E2332" t="s">
        <v>2341</v>
      </c>
      <c r="F2332" t="s"/>
      <c r="G2332" t="s"/>
      <c r="H2332" t="s"/>
      <c r="I2332" t="s"/>
      <c r="J2332" t="n">
        <v>-0.3182</v>
      </c>
      <c r="K2332" t="n">
        <v>0.187</v>
      </c>
      <c r="L2332" t="n">
        <v>0.8129999999999999</v>
      </c>
      <c r="M2332" t="n">
        <v>0</v>
      </c>
    </row>
    <row r="2333" spans="1:13">
      <c r="A2333" s="1">
        <f>HYPERLINK("http://www.twitter.com/NathanBLawrence/status/925876567494070273", "925876567494070273")</f>
        <v/>
      </c>
      <c r="B2333" s="2" t="n">
        <v>43041.00405092593</v>
      </c>
      <c r="C2333" t="n">
        <v>0</v>
      </c>
      <c r="D2333" t="n">
        <v>0</v>
      </c>
      <c r="E2333" t="s">
        <v>2342</v>
      </c>
      <c r="F2333" t="s"/>
      <c r="G2333" t="s"/>
      <c r="H2333" t="s"/>
      <c r="I2333" t="s"/>
      <c r="J2333" t="n">
        <v>0</v>
      </c>
      <c r="K2333" t="n">
        <v>0</v>
      </c>
      <c r="L2333" t="n">
        <v>1</v>
      </c>
      <c r="M2333" t="n">
        <v>0</v>
      </c>
    </row>
    <row r="2334" spans="1:13">
      <c r="A2334" s="1">
        <f>HYPERLINK("http://www.twitter.com/NathanBLawrence/status/925816729065918464", "925816729065918464")</f>
        <v/>
      </c>
      <c r="B2334" s="2" t="n">
        <v>43040.83892361111</v>
      </c>
      <c r="C2334" t="n">
        <v>0</v>
      </c>
      <c r="D2334" t="n">
        <v>0</v>
      </c>
      <c r="E2334" t="s">
        <v>2343</v>
      </c>
      <c r="F2334" t="s"/>
      <c r="G2334" t="s"/>
      <c r="H2334" t="s"/>
      <c r="I2334" t="s"/>
      <c r="J2334" t="n">
        <v>0</v>
      </c>
      <c r="K2334" t="n">
        <v>0</v>
      </c>
      <c r="L2334" t="n">
        <v>1</v>
      </c>
      <c r="M2334" t="n">
        <v>0</v>
      </c>
    </row>
    <row r="2335" spans="1:13">
      <c r="A2335" s="1">
        <f>HYPERLINK("http://www.twitter.com/NathanBLawrence/status/925762288249917440", "925762288249917440")</f>
        <v/>
      </c>
      <c r="B2335" s="2" t="n">
        <v>43040.6887037037</v>
      </c>
      <c r="C2335" t="n">
        <v>0</v>
      </c>
      <c r="D2335" t="n">
        <v>0</v>
      </c>
      <c r="E2335" t="s">
        <v>2344</v>
      </c>
      <c r="F2335" t="s"/>
      <c r="G2335" t="s"/>
      <c r="H2335" t="s"/>
      <c r="I2335" t="s"/>
      <c r="J2335" t="n">
        <v>0</v>
      </c>
      <c r="K2335" t="n">
        <v>0</v>
      </c>
      <c r="L2335" t="n">
        <v>1</v>
      </c>
      <c r="M2335" t="n">
        <v>0</v>
      </c>
    </row>
    <row r="2336" spans="1:13">
      <c r="A2336" s="1">
        <f>HYPERLINK("http://www.twitter.com/NathanBLawrence/status/925735401419141121", "925735401419141121")</f>
        <v/>
      </c>
      <c r="B2336" s="2" t="n">
        <v>43040.61450231481</v>
      </c>
      <c r="C2336" t="n">
        <v>0</v>
      </c>
      <c r="D2336" t="n">
        <v>0</v>
      </c>
      <c r="E2336" t="s">
        <v>2345</v>
      </c>
      <c r="F2336" t="s"/>
      <c r="G2336" t="s"/>
      <c r="H2336" t="s"/>
      <c r="I2336" t="s"/>
      <c r="J2336" t="n">
        <v>0</v>
      </c>
      <c r="K2336" t="n">
        <v>0</v>
      </c>
      <c r="L2336" t="n">
        <v>1</v>
      </c>
      <c r="M2336" t="n">
        <v>0</v>
      </c>
    </row>
    <row r="2337" spans="1:13">
      <c r="A2337" s="1">
        <f>HYPERLINK("http://www.twitter.com/NathanBLawrence/status/925733725874393089", "925733725874393089")</f>
        <v/>
      </c>
      <c r="B2337" s="2" t="n">
        <v>43040.60988425926</v>
      </c>
      <c r="C2337" t="n">
        <v>1</v>
      </c>
      <c r="D2337" t="n">
        <v>0</v>
      </c>
      <c r="E2337" t="s">
        <v>2346</v>
      </c>
      <c r="F2337" t="s"/>
      <c r="G2337" t="s"/>
      <c r="H2337" t="s"/>
      <c r="I2337" t="s"/>
      <c r="J2337" t="n">
        <v>-0.6037</v>
      </c>
      <c r="K2337" t="n">
        <v>0.294</v>
      </c>
      <c r="L2337" t="n">
        <v>0.611</v>
      </c>
      <c r="M2337" t="n">
        <v>0.095</v>
      </c>
    </row>
    <row r="2338" spans="1:13">
      <c r="A2338" s="1">
        <f>HYPERLINK("http://www.twitter.com/NathanBLawrence/status/925718316928430081", "925718316928430081")</f>
        <v/>
      </c>
      <c r="B2338" s="2" t="n">
        <v>43040.56736111111</v>
      </c>
      <c r="C2338" t="n">
        <v>0</v>
      </c>
      <c r="D2338" t="n">
        <v>0</v>
      </c>
      <c r="E2338" t="s">
        <v>2347</v>
      </c>
      <c r="F2338" t="s"/>
      <c r="G2338" t="s"/>
      <c r="H2338" t="s"/>
      <c r="I2338" t="s"/>
      <c r="J2338" t="n">
        <v>-0.4767</v>
      </c>
      <c r="K2338" t="n">
        <v>0.22</v>
      </c>
      <c r="L2338" t="n">
        <v>0.78</v>
      </c>
      <c r="M2338" t="n">
        <v>0</v>
      </c>
    </row>
    <row r="2339" spans="1:13">
      <c r="A2339" s="1">
        <f>HYPERLINK("http://www.twitter.com/NathanBLawrence/status/925562509075144704", "925562509075144704")</f>
        <v/>
      </c>
      <c r="B2339" s="2" t="n">
        <v>43040.1374074074</v>
      </c>
      <c r="C2339" t="n">
        <v>0</v>
      </c>
      <c r="D2339" t="n">
        <v>0</v>
      </c>
      <c r="E2339" t="s">
        <v>2348</v>
      </c>
      <c r="F2339" t="s"/>
      <c r="G2339" t="s"/>
      <c r="H2339" t="s"/>
      <c r="I2339" t="s"/>
      <c r="J2339" t="n">
        <v>0</v>
      </c>
      <c r="K2339" t="n">
        <v>0</v>
      </c>
      <c r="L2339" t="n">
        <v>1</v>
      </c>
      <c r="M2339" t="n">
        <v>0</v>
      </c>
    </row>
    <row r="2340" spans="1:13">
      <c r="A2340" s="1">
        <f>HYPERLINK("http://www.twitter.com/NathanBLawrence/status/925562034158219267", "925562034158219267")</f>
        <v/>
      </c>
      <c r="B2340" s="2" t="n">
        <v>43040.13609953703</v>
      </c>
      <c r="C2340" t="n">
        <v>0</v>
      </c>
      <c r="D2340" t="n">
        <v>0</v>
      </c>
      <c r="E2340" t="s">
        <v>2349</v>
      </c>
      <c r="F2340" t="s"/>
      <c r="G2340" t="s"/>
      <c r="H2340" t="s"/>
      <c r="I2340" t="s"/>
      <c r="J2340" t="n">
        <v>0</v>
      </c>
      <c r="K2340" t="n">
        <v>0</v>
      </c>
      <c r="L2340" t="n">
        <v>1</v>
      </c>
      <c r="M2340" t="n">
        <v>0</v>
      </c>
    </row>
    <row r="2341" spans="1:13">
      <c r="A2341" s="1">
        <f>HYPERLINK("http://www.twitter.com/NathanBLawrence/status/925555660581953537", "925555660581953537")</f>
        <v/>
      </c>
      <c r="B2341" s="2" t="n">
        <v>43040.11851851852</v>
      </c>
      <c r="C2341" t="n">
        <v>1</v>
      </c>
      <c r="D2341" t="n">
        <v>0</v>
      </c>
      <c r="E2341" t="s">
        <v>2350</v>
      </c>
      <c r="F2341" t="s"/>
      <c r="G2341" t="s"/>
      <c r="H2341" t="s"/>
      <c r="I2341" t="s"/>
      <c r="J2341" t="n">
        <v>-0.7835</v>
      </c>
      <c r="K2341" t="n">
        <v>0.312</v>
      </c>
      <c r="L2341" t="n">
        <v>0.595</v>
      </c>
      <c r="M2341" t="n">
        <v>0.093</v>
      </c>
    </row>
    <row r="2342" spans="1:13">
      <c r="A2342" s="1">
        <f>HYPERLINK("http://www.twitter.com/NathanBLawrence/status/925551032284872704", "925551032284872704")</f>
        <v/>
      </c>
      <c r="B2342" s="2" t="n">
        <v>43040.10574074074</v>
      </c>
      <c r="C2342" t="n">
        <v>0</v>
      </c>
      <c r="D2342" t="n">
        <v>0</v>
      </c>
      <c r="E2342" t="s">
        <v>2351</v>
      </c>
      <c r="F2342" t="s"/>
      <c r="G2342" t="s"/>
      <c r="H2342" t="s"/>
      <c r="I2342" t="s"/>
      <c r="J2342" t="n">
        <v>-0.25</v>
      </c>
      <c r="K2342" t="n">
        <v>0.219</v>
      </c>
      <c r="L2342" t="n">
        <v>0.625</v>
      </c>
      <c r="M2342" t="n">
        <v>0.156</v>
      </c>
    </row>
    <row r="2343" spans="1:13">
      <c r="A2343" s="1">
        <f>HYPERLINK("http://www.twitter.com/NathanBLawrence/status/925505146716647429", "925505146716647429")</f>
        <v/>
      </c>
      <c r="B2343" s="2" t="n">
        <v>43039.97912037037</v>
      </c>
      <c r="C2343" t="n">
        <v>0</v>
      </c>
      <c r="D2343" t="n">
        <v>0</v>
      </c>
      <c r="E2343" t="s">
        <v>2352</v>
      </c>
      <c r="F2343" t="s"/>
      <c r="G2343" t="s"/>
      <c r="H2343" t="s"/>
      <c r="I2343" t="s"/>
      <c r="J2343" t="n">
        <v>0.6369</v>
      </c>
      <c r="K2343" t="n">
        <v>0</v>
      </c>
      <c r="L2343" t="n">
        <v>0.543</v>
      </c>
      <c r="M2343" t="n">
        <v>0.457</v>
      </c>
    </row>
    <row r="2344" spans="1:13">
      <c r="A2344" s="1">
        <f>HYPERLINK("http://www.twitter.com/NathanBLawrence/status/925395766562181120", "925395766562181120")</f>
        <v/>
      </c>
      <c r="B2344" s="2" t="n">
        <v>43039.67729166667</v>
      </c>
      <c r="C2344" t="n">
        <v>0</v>
      </c>
      <c r="D2344" t="n">
        <v>0</v>
      </c>
      <c r="E2344" t="s">
        <v>2353</v>
      </c>
      <c r="F2344" t="s"/>
      <c r="G2344" t="s"/>
      <c r="H2344" t="s"/>
      <c r="I2344" t="s"/>
      <c r="J2344" t="n">
        <v>-0.4416</v>
      </c>
      <c r="K2344" t="n">
        <v>0.195</v>
      </c>
      <c r="L2344" t="n">
        <v>0.805</v>
      </c>
      <c r="M2344" t="n">
        <v>0</v>
      </c>
    </row>
    <row r="2345" spans="1:13">
      <c r="A2345" s="1">
        <f>HYPERLINK("http://www.twitter.com/NathanBLawrence/status/925395272519356416", "925395272519356416")</f>
        <v/>
      </c>
      <c r="B2345" s="2" t="n">
        <v>43039.67592592593</v>
      </c>
      <c r="C2345" t="n">
        <v>0</v>
      </c>
      <c r="D2345" t="n">
        <v>0</v>
      </c>
      <c r="E2345" t="s">
        <v>2354</v>
      </c>
      <c r="F2345" t="s"/>
      <c r="G2345" t="s"/>
      <c r="H2345" t="s"/>
      <c r="I2345" t="s"/>
      <c r="J2345" t="n">
        <v>0.8741</v>
      </c>
      <c r="K2345" t="n">
        <v>0</v>
      </c>
      <c r="L2345" t="n">
        <v>0.527</v>
      </c>
      <c r="M2345" t="n">
        <v>0.473</v>
      </c>
    </row>
    <row r="2346" spans="1:13">
      <c r="A2346" s="1">
        <f>HYPERLINK("http://www.twitter.com/NathanBLawrence/status/925385253593772032", "925385253593772032")</f>
        <v/>
      </c>
      <c r="B2346" s="2" t="n">
        <v>43039.64827546296</v>
      </c>
      <c r="C2346" t="n">
        <v>0</v>
      </c>
      <c r="D2346" t="n">
        <v>681</v>
      </c>
      <c r="E2346" t="s">
        <v>2355</v>
      </c>
      <c r="F2346" t="s"/>
      <c r="G2346" t="s"/>
      <c r="H2346" t="s"/>
      <c r="I2346" t="s"/>
      <c r="J2346" t="n">
        <v>0</v>
      </c>
      <c r="K2346" t="n">
        <v>0</v>
      </c>
      <c r="L2346" t="n">
        <v>1</v>
      </c>
      <c r="M2346" t="n">
        <v>0</v>
      </c>
    </row>
    <row r="2347" spans="1:13">
      <c r="A2347" s="1">
        <f>HYPERLINK("http://www.twitter.com/NathanBLawrence/status/925385173545443328", "925385173545443328")</f>
        <v/>
      </c>
      <c r="B2347" s="2" t="n">
        <v>43039.64805555555</v>
      </c>
      <c r="C2347" t="n">
        <v>1</v>
      </c>
      <c r="D2347" t="n">
        <v>0</v>
      </c>
      <c r="E2347" t="s">
        <v>2356</v>
      </c>
      <c r="F2347" t="s"/>
      <c r="G2347" t="s"/>
      <c r="H2347" t="s"/>
      <c r="I2347" t="s"/>
      <c r="J2347" t="n">
        <v>0</v>
      </c>
      <c r="K2347" t="n">
        <v>0</v>
      </c>
      <c r="L2347" t="n">
        <v>1</v>
      </c>
      <c r="M2347" t="n">
        <v>0</v>
      </c>
    </row>
    <row r="2348" spans="1:13">
      <c r="A2348" s="1">
        <f>HYPERLINK("http://www.twitter.com/NathanBLawrence/status/925370989822738435", "925370989822738435")</f>
        <v/>
      </c>
      <c r="B2348" s="2" t="n">
        <v>43039.60892361111</v>
      </c>
      <c r="C2348" t="n">
        <v>0</v>
      </c>
      <c r="D2348" t="n">
        <v>0</v>
      </c>
      <c r="E2348" t="s">
        <v>2357</v>
      </c>
      <c r="F2348" t="s"/>
      <c r="G2348" t="s"/>
      <c r="H2348" t="s"/>
      <c r="I2348" t="s"/>
      <c r="J2348" t="n">
        <v>0.4404</v>
      </c>
      <c r="K2348" t="n">
        <v>0</v>
      </c>
      <c r="L2348" t="n">
        <v>0.256</v>
      </c>
      <c r="M2348" t="n">
        <v>0.744</v>
      </c>
    </row>
    <row r="2349" spans="1:13">
      <c r="A2349" s="1">
        <f>HYPERLINK("http://www.twitter.com/NathanBLawrence/status/925365938677014528", "925365938677014528")</f>
        <v/>
      </c>
      <c r="B2349" s="2" t="n">
        <v>43039.59497685185</v>
      </c>
      <c r="C2349" t="n">
        <v>1</v>
      </c>
      <c r="D2349" t="n">
        <v>0</v>
      </c>
      <c r="E2349" t="s">
        <v>2358</v>
      </c>
      <c r="F2349" t="s"/>
      <c r="G2349" t="s"/>
      <c r="H2349" t="s"/>
      <c r="I2349" t="s"/>
      <c r="J2349" t="n">
        <v>-0.7351</v>
      </c>
      <c r="K2349" t="n">
        <v>0.22</v>
      </c>
      <c r="L2349" t="n">
        <v>0.78</v>
      </c>
      <c r="M2349" t="n">
        <v>0</v>
      </c>
    </row>
    <row r="2350" spans="1:13">
      <c r="A2350" s="1">
        <f>HYPERLINK("http://www.twitter.com/NathanBLawrence/status/925353009453953025", "925353009453953025")</f>
        <v/>
      </c>
      <c r="B2350" s="2" t="n">
        <v>43039.55930555556</v>
      </c>
      <c r="C2350" t="n">
        <v>0</v>
      </c>
      <c r="D2350" t="n">
        <v>0</v>
      </c>
      <c r="E2350" t="s">
        <v>2359</v>
      </c>
      <c r="F2350" t="s"/>
      <c r="G2350" t="s"/>
      <c r="H2350" t="s"/>
      <c r="I2350" t="s"/>
      <c r="J2350" t="n">
        <v>-0.5423</v>
      </c>
      <c r="K2350" t="n">
        <v>0.234</v>
      </c>
      <c r="L2350" t="n">
        <v>0.659</v>
      </c>
      <c r="M2350" t="n">
        <v>0.106</v>
      </c>
    </row>
    <row r="2351" spans="1:13">
      <c r="A2351" s="1">
        <f>HYPERLINK("http://www.twitter.com/NathanBLawrence/status/925351675963068416", "925351675963068416")</f>
        <v/>
      </c>
      <c r="B2351" s="2" t="n">
        <v>43039.555625</v>
      </c>
      <c r="C2351" t="n">
        <v>0</v>
      </c>
      <c r="D2351" t="n">
        <v>0</v>
      </c>
      <c r="E2351" t="s">
        <v>2360</v>
      </c>
      <c r="F2351" t="s"/>
      <c r="G2351" t="s"/>
      <c r="H2351" t="s"/>
      <c r="I2351" t="s"/>
      <c r="J2351" t="n">
        <v>-0.4767</v>
      </c>
      <c r="K2351" t="n">
        <v>0.181</v>
      </c>
      <c r="L2351" t="n">
        <v>0.819</v>
      </c>
      <c r="M2351" t="n">
        <v>0</v>
      </c>
    </row>
    <row r="2352" spans="1:13">
      <c r="A2352" s="1">
        <f>HYPERLINK("http://www.twitter.com/NathanBLawrence/status/925142048868577280", "925142048868577280")</f>
        <v/>
      </c>
      <c r="B2352" s="2" t="n">
        <v>43038.97716435185</v>
      </c>
      <c r="C2352" t="n">
        <v>0</v>
      </c>
      <c r="D2352" t="n">
        <v>0</v>
      </c>
      <c r="E2352" t="s">
        <v>2361</v>
      </c>
      <c r="F2352" t="s"/>
      <c r="G2352" t="s"/>
      <c r="H2352" t="s"/>
      <c r="I2352" t="s"/>
      <c r="J2352" t="n">
        <v>0</v>
      </c>
      <c r="K2352" t="n">
        <v>0</v>
      </c>
      <c r="L2352" t="n">
        <v>1</v>
      </c>
      <c r="M2352" t="n">
        <v>0</v>
      </c>
    </row>
    <row r="2353" spans="1:13">
      <c r="A2353" s="1">
        <f>HYPERLINK("http://www.twitter.com/NathanBLawrence/status/925141633032773633", "925141633032773633")</f>
        <v/>
      </c>
      <c r="B2353" s="2" t="n">
        <v>43038.97601851852</v>
      </c>
      <c r="C2353" t="n">
        <v>0</v>
      </c>
      <c r="D2353" t="n">
        <v>0</v>
      </c>
      <c r="E2353" t="s">
        <v>2362</v>
      </c>
      <c r="F2353" t="s"/>
      <c r="G2353" t="s"/>
      <c r="H2353" t="s"/>
      <c r="I2353" t="s"/>
      <c r="J2353" t="n">
        <v>0</v>
      </c>
      <c r="K2353" t="n">
        <v>0</v>
      </c>
      <c r="L2353" t="n">
        <v>1</v>
      </c>
      <c r="M2353" t="n">
        <v>0</v>
      </c>
    </row>
    <row r="2354" spans="1:13">
      <c r="A2354" s="1">
        <f>HYPERLINK("http://www.twitter.com/NathanBLawrence/status/925088636655239168", "925088636655239168")</f>
        <v/>
      </c>
      <c r="B2354" s="2" t="n">
        <v>43038.82976851852</v>
      </c>
      <c r="C2354" t="n">
        <v>0</v>
      </c>
      <c r="D2354" t="n">
        <v>0</v>
      </c>
      <c r="E2354" t="s">
        <v>2363</v>
      </c>
      <c r="F2354" t="s"/>
      <c r="G2354" t="s"/>
      <c r="H2354" t="s"/>
      <c r="I2354" t="s"/>
      <c r="J2354" t="n">
        <v>0.5229</v>
      </c>
      <c r="K2354" t="n">
        <v>0</v>
      </c>
      <c r="L2354" t="n">
        <v>0.675</v>
      </c>
      <c r="M2354" t="n">
        <v>0.325</v>
      </c>
    </row>
    <row r="2355" spans="1:13">
      <c r="A2355" s="1">
        <f>HYPERLINK("http://www.twitter.com/NathanBLawrence/status/925085297976725505", "925085297976725505")</f>
        <v/>
      </c>
      <c r="B2355" s="2" t="n">
        <v>43038.82055555555</v>
      </c>
      <c r="C2355" t="n">
        <v>0</v>
      </c>
      <c r="D2355" t="n">
        <v>3411</v>
      </c>
      <c r="E2355" t="s">
        <v>2364</v>
      </c>
      <c r="F2355" t="s"/>
      <c r="G2355" t="s"/>
      <c r="H2355" t="s"/>
      <c r="I2355" t="s"/>
      <c r="J2355" t="n">
        <v>0</v>
      </c>
      <c r="K2355" t="n">
        <v>0</v>
      </c>
      <c r="L2355" t="n">
        <v>1</v>
      </c>
      <c r="M2355" t="n">
        <v>0</v>
      </c>
    </row>
    <row r="2356" spans="1:13">
      <c r="A2356" s="1">
        <f>HYPERLINK("http://www.twitter.com/NathanBLawrence/status/925081060920250369", "925081060920250369")</f>
        <v/>
      </c>
      <c r="B2356" s="2" t="n">
        <v>43038.80886574074</v>
      </c>
      <c r="C2356" t="n">
        <v>0</v>
      </c>
      <c r="D2356" t="n">
        <v>0</v>
      </c>
      <c r="E2356" t="s">
        <v>2365</v>
      </c>
      <c r="F2356" t="s"/>
      <c r="G2356" t="s"/>
      <c r="H2356" t="s"/>
      <c r="I2356" t="s"/>
      <c r="J2356" t="n">
        <v>0</v>
      </c>
      <c r="K2356" t="n">
        <v>0</v>
      </c>
      <c r="L2356" t="n">
        <v>1</v>
      </c>
      <c r="M2356" t="n">
        <v>0</v>
      </c>
    </row>
    <row r="2357" spans="1:13">
      <c r="A2357" s="1">
        <f>HYPERLINK("http://www.twitter.com/NathanBLawrence/status/925069756868321280", "925069756868321280")</f>
        <v/>
      </c>
      <c r="B2357" s="2" t="n">
        <v>43038.77767361111</v>
      </c>
      <c r="C2357" t="n">
        <v>1</v>
      </c>
      <c r="D2357" t="n">
        <v>0</v>
      </c>
      <c r="E2357" t="s">
        <v>2366</v>
      </c>
      <c r="F2357" t="s"/>
      <c r="G2357" t="s"/>
      <c r="H2357" t="s"/>
      <c r="I2357" t="s"/>
      <c r="J2357" t="n">
        <v>-0.6124000000000001</v>
      </c>
      <c r="K2357" t="n">
        <v>0.333</v>
      </c>
      <c r="L2357" t="n">
        <v>0.667</v>
      </c>
      <c r="M2357" t="n">
        <v>0</v>
      </c>
    </row>
    <row r="2358" spans="1:13">
      <c r="A2358" s="1">
        <f>HYPERLINK("http://www.twitter.com/NathanBLawrence/status/925064659547426821", "925064659547426821")</f>
        <v/>
      </c>
      <c r="B2358" s="2" t="n">
        <v>43038.76361111111</v>
      </c>
      <c r="C2358" t="n">
        <v>0</v>
      </c>
      <c r="D2358" t="n">
        <v>0</v>
      </c>
      <c r="E2358" t="s">
        <v>2367</v>
      </c>
      <c r="F2358" t="s"/>
      <c r="G2358" t="s"/>
      <c r="H2358" t="s"/>
      <c r="I2358" t="s"/>
      <c r="J2358" t="n">
        <v>0</v>
      </c>
      <c r="K2358" t="n">
        <v>0</v>
      </c>
      <c r="L2358" t="n">
        <v>1</v>
      </c>
      <c r="M2358" t="n">
        <v>0</v>
      </c>
    </row>
    <row r="2359" spans="1:13">
      <c r="A2359" s="1">
        <f>HYPERLINK("http://www.twitter.com/NathanBLawrence/status/925062447152750592", "925062447152750592")</f>
        <v/>
      </c>
      <c r="B2359" s="2" t="n">
        <v>43038.7575</v>
      </c>
      <c r="C2359" t="n">
        <v>0</v>
      </c>
      <c r="D2359" t="n">
        <v>158</v>
      </c>
      <c r="E2359" t="s">
        <v>2368</v>
      </c>
      <c r="F2359" t="s"/>
      <c r="G2359" t="s"/>
      <c r="H2359" t="s"/>
      <c r="I2359" t="s"/>
      <c r="J2359" t="n">
        <v>0</v>
      </c>
      <c r="K2359" t="n">
        <v>0</v>
      </c>
      <c r="L2359" t="n">
        <v>1</v>
      </c>
      <c r="M2359" t="n">
        <v>0</v>
      </c>
    </row>
    <row r="2360" spans="1:13">
      <c r="A2360" s="1">
        <f>HYPERLINK("http://www.twitter.com/NathanBLawrence/status/925057549866536962", "925057549866536962")</f>
        <v/>
      </c>
      <c r="B2360" s="2" t="n">
        <v>43038.74399305556</v>
      </c>
      <c r="C2360" t="n">
        <v>1</v>
      </c>
      <c r="D2360" t="n">
        <v>0</v>
      </c>
      <c r="E2360" t="s">
        <v>2369</v>
      </c>
      <c r="F2360" t="s"/>
      <c r="G2360" t="s"/>
      <c r="H2360" t="s"/>
      <c r="I2360" t="s"/>
      <c r="J2360" t="n">
        <v>0.4767</v>
      </c>
      <c r="K2360" t="n">
        <v>0</v>
      </c>
      <c r="L2360" t="n">
        <v>0.721</v>
      </c>
      <c r="M2360" t="n">
        <v>0.279</v>
      </c>
    </row>
    <row r="2361" spans="1:13">
      <c r="A2361" s="1">
        <f>HYPERLINK("http://www.twitter.com/NathanBLawrence/status/925051319148269569", "925051319148269569")</f>
        <v/>
      </c>
      <c r="B2361" s="2" t="n">
        <v>43038.72679398148</v>
      </c>
      <c r="C2361" t="n">
        <v>1</v>
      </c>
      <c r="D2361" t="n">
        <v>1</v>
      </c>
      <c r="E2361" t="s">
        <v>2370</v>
      </c>
      <c r="F2361" t="s"/>
      <c r="G2361" t="s"/>
      <c r="H2361" t="s"/>
      <c r="I2361" t="s"/>
      <c r="J2361" t="n">
        <v>0.4404</v>
      </c>
      <c r="K2361" t="n">
        <v>0</v>
      </c>
      <c r="L2361" t="n">
        <v>0.756</v>
      </c>
      <c r="M2361" t="n">
        <v>0.244</v>
      </c>
    </row>
    <row r="2362" spans="1:13">
      <c r="A2362" s="1">
        <f>HYPERLINK("http://www.twitter.com/NathanBLawrence/status/925032242837106691", "925032242837106691")</f>
        <v/>
      </c>
      <c r="B2362" s="2" t="n">
        <v>43038.67415509259</v>
      </c>
      <c r="C2362" t="n">
        <v>0</v>
      </c>
      <c r="D2362" t="n">
        <v>1167</v>
      </c>
      <c r="E2362" t="s">
        <v>2371</v>
      </c>
      <c r="F2362">
        <f>HYPERLINK("http://pbs.twimg.com/media/DNZHh49WAAAI0bV.jpg", "http://pbs.twimg.com/media/DNZHh49WAAAI0bV.jpg")</f>
        <v/>
      </c>
      <c r="G2362" t="s"/>
      <c r="H2362" t="s"/>
      <c r="I2362" t="s"/>
      <c r="J2362" t="n">
        <v>0.5106000000000001</v>
      </c>
      <c r="K2362" t="n">
        <v>0</v>
      </c>
      <c r="L2362" t="n">
        <v>0.852</v>
      </c>
      <c r="M2362" t="n">
        <v>0.148</v>
      </c>
    </row>
    <row r="2363" spans="1:13">
      <c r="A2363" s="1">
        <f>HYPERLINK("http://www.twitter.com/NathanBLawrence/status/925030330377138177", "925030330377138177")</f>
        <v/>
      </c>
      <c r="B2363" s="2" t="n">
        <v>43038.66887731481</v>
      </c>
      <c r="C2363" t="n">
        <v>0</v>
      </c>
      <c r="D2363" t="n">
        <v>4469</v>
      </c>
      <c r="E2363" t="s">
        <v>2372</v>
      </c>
      <c r="F2363">
        <f>HYPERLINK("http://pbs.twimg.com/media/DNZAYuPXcAE5Xs-.jpg", "http://pbs.twimg.com/media/DNZAYuPXcAE5Xs-.jpg")</f>
        <v/>
      </c>
      <c r="G2363" t="s"/>
      <c r="H2363" t="s"/>
      <c r="I2363" t="s"/>
      <c r="J2363" t="n">
        <v>0.0323</v>
      </c>
      <c r="K2363" t="n">
        <v>0.128</v>
      </c>
      <c r="L2363" t="n">
        <v>0.706</v>
      </c>
      <c r="M2363" t="n">
        <v>0.166</v>
      </c>
    </row>
    <row r="2364" spans="1:13">
      <c r="A2364" s="1">
        <f>HYPERLINK("http://www.twitter.com/NathanBLawrence/status/924994074955960321", "924994074955960321")</f>
        <v/>
      </c>
      <c r="B2364" s="2" t="n">
        <v>43038.56883101852</v>
      </c>
      <c r="C2364" t="n">
        <v>0</v>
      </c>
      <c r="D2364" t="n">
        <v>4408</v>
      </c>
      <c r="E2364" t="s">
        <v>2373</v>
      </c>
      <c r="F2364" t="s"/>
      <c r="G2364" t="s"/>
      <c r="H2364" t="s"/>
      <c r="I2364" t="s"/>
      <c r="J2364" t="n">
        <v>-0.2732</v>
      </c>
      <c r="K2364" t="n">
        <v>0.08699999999999999</v>
      </c>
      <c r="L2364" t="n">
        <v>0.913</v>
      </c>
      <c r="M2364" t="n">
        <v>0</v>
      </c>
    </row>
    <row r="2365" spans="1:13">
      <c r="A2365" s="1">
        <f>HYPERLINK("http://www.twitter.com/NathanBLawrence/status/924994019054309376", "924994019054309376")</f>
        <v/>
      </c>
      <c r="B2365" s="2" t="n">
        <v>43038.56868055555</v>
      </c>
      <c r="C2365" t="n">
        <v>0</v>
      </c>
      <c r="D2365" t="n">
        <v>0</v>
      </c>
      <c r="E2365" t="s">
        <v>2374</v>
      </c>
      <c r="F2365" t="s"/>
      <c r="G2365" t="s"/>
      <c r="H2365" t="s"/>
      <c r="I2365" t="s"/>
      <c r="J2365" t="n">
        <v>0</v>
      </c>
      <c r="K2365" t="n">
        <v>0</v>
      </c>
      <c r="L2365" t="n">
        <v>1</v>
      </c>
      <c r="M2365" t="n">
        <v>0</v>
      </c>
    </row>
    <row r="2366" spans="1:13">
      <c r="A2366" s="1">
        <f>HYPERLINK("http://www.twitter.com/NathanBLawrence/status/924991723952058370", "924991723952058370")</f>
        <v/>
      </c>
      <c r="B2366" s="2" t="n">
        <v>43038.56234953704</v>
      </c>
      <c r="C2366" t="n">
        <v>0</v>
      </c>
      <c r="D2366" t="n">
        <v>0</v>
      </c>
      <c r="E2366" t="s">
        <v>2375</v>
      </c>
      <c r="F2366" t="s"/>
      <c r="G2366" t="s"/>
      <c r="H2366" t="s"/>
      <c r="I2366" t="s"/>
      <c r="J2366" t="n">
        <v>-0.5684</v>
      </c>
      <c r="K2366" t="n">
        <v>0.269</v>
      </c>
      <c r="L2366" t="n">
        <v>0.731</v>
      </c>
      <c r="M2366" t="n">
        <v>0</v>
      </c>
    </row>
    <row r="2367" spans="1:13">
      <c r="A2367" s="1">
        <f>HYPERLINK("http://www.twitter.com/NathanBLawrence/status/924985013027958785", "924985013027958785")</f>
        <v/>
      </c>
      <c r="B2367" s="2" t="n">
        <v>43038.54383101852</v>
      </c>
      <c r="C2367" t="n">
        <v>0</v>
      </c>
      <c r="D2367" t="n">
        <v>0</v>
      </c>
      <c r="E2367" t="s">
        <v>2376</v>
      </c>
      <c r="F2367" t="s"/>
      <c r="G2367" t="s"/>
      <c r="H2367" t="s"/>
      <c r="I2367" t="s"/>
      <c r="J2367" t="n">
        <v>0.3182</v>
      </c>
      <c r="K2367" t="n">
        <v>0</v>
      </c>
      <c r="L2367" t="n">
        <v>0.6850000000000001</v>
      </c>
      <c r="M2367" t="n">
        <v>0.315</v>
      </c>
    </row>
    <row r="2368" spans="1:13">
      <c r="A2368" s="1">
        <f>HYPERLINK("http://www.twitter.com/NathanBLawrence/status/924977917569925121", "924977917569925121")</f>
        <v/>
      </c>
      <c r="B2368" s="2" t="n">
        <v>43038.52424768519</v>
      </c>
      <c r="C2368" t="n">
        <v>0</v>
      </c>
      <c r="D2368" t="n">
        <v>0</v>
      </c>
      <c r="E2368" t="s">
        <v>2377</v>
      </c>
      <c r="F2368" t="s"/>
      <c r="G2368" t="s"/>
      <c r="H2368" t="s"/>
      <c r="I2368" t="s"/>
      <c r="J2368" t="n">
        <v>0.4588</v>
      </c>
      <c r="K2368" t="n">
        <v>0</v>
      </c>
      <c r="L2368" t="n">
        <v>0.7</v>
      </c>
      <c r="M2368" t="n">
        <v>0.3</v>
      </c>
    </row>
    <row r="2369" spans="1:13">
      <c r="A2369" s="1">
        <f>HYPERLINK("http://www.twitter.com/NathanBLawrence/status/924976574524510210", "924976574524510210")</f>
        <v/>
      </c>
      <c r="B2369" s="2" t="n">
        <v>43038.52054398148</v>
      </c>
      <c r="C2369" t="n">
        <v>1</v>
      </c>
      <c r="D2369" t="n">
        <v>0</v>
      </c>
      <c r="E2369" t="s">
        <v>2378</v>
      </c>
      <c r="F2369" t="s"/>
      <c r="G2369" t="s"/>
      <c r="H2369" t="s"/>
      <c r="I2369" t="s"/>
      <c r="J2369" t="n">
        <v>0.6679</v>
      </c>
      <c r="K2369" t="n">
        <v>0.051</v>
      </c>
      <c r="L2369" t="n">
        <v>0.705</v>
      </c>
      <c r="M2369" t="n">
        <v>0.244</v>
      </c>
    </row>
    <row r="2370" spans="1:13">
      <c r="A2370" s="1">
        <f>HYPERLINK("http://www.twitter.com/NathanBLawrence/status/924973130682175488", "924973130682175488")</f>
        <v/>
      </c>
      <c r="B2370" s="2" t="n">
        <v>43038.51104166666</v>
      </c>
      <c r="C2370" t="n">
        <v>0</v>
      </c>
      <c r="D2370" t="n">
        <v>0</v>
      </c>
      <c r="E2370" t="s">
        <v>2379</v>
      </c>
      <c r="F2370" t="s"/>
      <c r="G2370" t="s"/>
      <c r="H2370" t="s"/>
      <c r="I2370" t="s"/>
      <c r="J2370" t="n">
        <v>0.3612</v>
      </c>
      <c r="K2370" t="n">
        <v>0</v>
      </c>
      <c r="L2370" t="n">
        <v>0.545</v>
      </c>
      <c r="M2370" t="n">
        <v>0.455</v>
      </c>
    </row>
    <row r="2371" spans="1:13">
      <c r="A2371" s="1">
        <f>HYPERLINK("http://www.twitter.com/NathanBLawrence/status/924972808660234240", "924972808660234240")</f>
        <v/>
      </c>
      <c r="B2371" s="2" t="n">
        <v>43038.51015046296</v>
      </c>
      <c r="C2371" t="n">
        <v>1</v>
      </c>
      <c r="D2371" t="n">
        <v>0</v>
      </c>
      <c r="E2371" t="s">
        <v>2380</v>
      </c>
      <c r="F2371" t="s"/>
      <c r="G2371" t="s"/>
      <c r="H2371" t="s"/>
      <c r="I2371" t="s"/>
      <c r="J2371" t="n">
        <v>0</v>
      </c>
      <c r="K2371" t="n">
        <v>0</v>
      </c>
      <c r="L2371" t="n">
        <v>1</v>
      </c>
      <c r="M2371" t="n">
        <v>0</v>
      </c>
    </row>
    <row r="2372" spans="1:13">
      <c r="A2372" s="1">
        <f>HYPERLINK("http://www.twitter.com/NathanBLawrence/status/924972453570412545", "924972453570412545")</f>
        <v/>
      </c>
      <c r="B2372" s="2" t="n">
        <v>43038.50916666666</v>
      </c>
      <c r="C2372" t="n">
        <v>0</v>
      </c>
      <c r="D2372" t="n">
        <v>0</v>
      </c>
      <c r="E2372" t="s">
        <v>2381</v>
      </c>
      <c r="F2372" t="s"/>
      <c r="G2372" t="s"/>
      <c r="H2372" t="s"/>
      <c r="I2372" t="s"/>
      <c r="J2372" t="n">
        <v>0</v>
      </c>
      <c r="K2372" t="n">
        <v>0</v>
      </c>
      <c r="L2372" t="n">
        <v>1</v>
      </c>
      <c r="M2372" t="n">
        <v>0</v>
      </c>
    </row>
    <row r="2373" spans="1:13">
      <c r="A2373" s="1">
        <f>HYPERLINK("http://www.twitter.com/NathanBLawrence/status/924837224990027776", "924837224990027776")</f>
        <v/>
      </c>
      <c r="B2373" s="2" t="n">
        <v>43038.13600694444</v>
      </c>
      <c r="C2373" t="n">
        <v>0</v>
      </c>
      <c r="D2373" t="n">
        <v>8294</v>
      </c>
      <c r="E2373" t="s">
        <v>2382</v>
      </c>
      <c r="F2373" t="s"/>
      <c r="G2373" t="s"/>
      <c r="H2373" t="s"/>
      <c r="I2373" t="s"/>
      <c r="J2373" t="n">
        <v>-0.5423</v>
      </c>
      <c r="K2373" t="n">
        <v>0.171</v>
      </c>
      <c r="L2373" t="n">
        <v>0.829</v>
      </c>
      <c r="M2373" t="n">
        <v>0</v>
      </c>
    </row>
    <row r="2374" spans="1:13">
      <c r="A2374" s="1">
        <f>HYPERLINK("http://www.twitter.com/NathanBLawrence/status/924835908876161027", "924835908876161027")</f>
        <v/>
      </c>
      <c r="B2374" s="2" t="n">
        <v>43038.13237268518</v>
      </c>
      <c r="C2374" t="n">
        <v>0</v>
      </c>
      <c r="D2374" t="n">
        <v>0</v>
      </c>
      <c r="E2374" t="s">
        <v>2383</v>
      </c>
      <c r="F2374" t="s"/>
      <c r="G2374" t="s"/>
      <c r="H2374" t="s"/>
      <c r="I2374" t="s"/>
      <c r="J2374" t="n">
        <v>0.6369</v>
      </c>
      <c r="K2374" t="n">
        <v>0</v>
      </c>
      <c r="L2374" t="n">
        <v>0.704</v>
      </c>
      <c r="M2374" t="n">
        <v>0.296</v>
      </c>
    </row>
    <row r="2375" spans="1:13">
      <c r="A2375" s="1">
        <f>HYPERLINK("http://www.twitter.com/NathanBLawrence/status/924823417723015168", "924823417723015168")</f>
        <v/>
      </c>
      <c r="B2375" s="2" t="n">
        <v>43038.0979050926</v>
      </c>
      <c r="C2375" t="n">
        <v>2</v>
      </c>
      <c r="D2375" t="n">
        <v>0</v>
      </c>
      <c r="E2375" t="s">
        <v>2384</v>
      </c>
      <c r="F2375" t="s"/>
      <c r="G2375" t="s"/>
      <c r="H2375" t="s"/>
      <c r="I2375" t="s"/>
      <c r="J2375" t="n">
        <v>0</v>
      </c>
      <c r="K2375" t="n">
        <v>0</v>
      </c>
      <c r="L2375" t="n">
        <v>1</v>
      </c>
      <c r="M2375" t="n">
        <v>0</v>
      </c>
    </row>
    <row r="2376" spans="1:13">
      <c r="A2376" s="1">
        <f>HYPERLINK("http://www.twitter.com/NathanBLawrence/status/924730458017091585", "924730458017091585")</f>
        <v/>
      </c>
      <c r="B2376" s="2" t="n">
        <v>43037.84138888889</v>
      </c>
      <c r="C2376" t="n">
        <v>0</v>
      </c>
      <c r="D2376" t="n">
        <v>49</v>
      </c>
      <c r="E2376" t="s">
        <v>2385</v>
      </c>
      <c r="F2376">
        <f>HYPERLINK("http://pbs.twimg.com/media/DNVL3H7V4AA-vDV.jpg", "http://pbs.twimg.com/media/DNVL3H7V4AA-vDV.jpg")</f>
        <v/>
      </c>
      <c r="G2376" t="s"/>
      <c r="H2376" t="s"/>
      <c r="I2376" t="s"/>
      <c r="J2376" t="n">
        <v>0.296</v>
      </c>
      <c r="K2376" t="n">
        <v>0</v>
      </c>
      <c r="L2376" t="n">
        <v>0.879</v>
      </c>
      <c r="M2376" t="n">
        <v>0.121</v>
      </c>
    </row>
    <row r="2377" spans="1:13">
      <c r="A2377" s="1">
        <f>HYPERLINK("http://www.twitter.com/NathanBLawrence/status/924730122598518784", "924730122598518784")</f>
        <v/>
      </c>
      <c r="B2377" s="2" t="n">
        <v>43037.84046296297</v>
      </c>
      <c r="C2377" t="n">
        <v>3</v>
      </c>
      <c r="D2377" t="n">
        <v>0</v>
      </c>
      <c r="E2377" t="s">
        <v>2386</v>
      </c>
      <c r="F2377" t="s"/>
      <c r="G2377" t="s"/>
      <c r="H2377" t="s"/>
      <c r="I2377" t="s"/>
      <c r="J2377" t="n">
        <v>0</v>
      </c>
      <c r="K2377" t="n">
        <v>0</v>
      </c>
      <c r="L2377" t="n">
        <v>1</v>
      </c>
      <c r="M2377" t="n">
        <v>0</v>
      </c>
    </row>
    <row r="2378" spans="1:13">
      <c r="A2378" s="1">
        <f>HYPERLINK("http://www.twitter.com/NathanBLawrence/status/924722341556432896", "924722341556432896")</f>
        <v/>
      </c>
      <c r="B2378" s="2" t="n">
        <v>43037.81899305555</v>
      </c>
      <c r="C2378" t="n">
        <v>1</v>
      </c>
      <c r="D2378" t="n">
        <v>0</v>
      </c>
      <c r="E2378" t="s">
        <v>2387</v>
      </c>
      <c r="F2378" t="s"/>
      <c r="G2378" t="s"/>
      <c r="H2378" t="s"/>
      <c r="I2378" t="s"/>
      <c r="J2378" t="n">
        <v>-0.3941</v>
      </c>
      <c r="K2378" t="n">
        <v>0.347</v>
      </c>
      <c r="L2378" t="n">
        <v>0.653</v>
      </c>
      <c r="M2378" t="n">
        <v>0</v>
      </c>
    </row>
    <row r="2379" spans="1:13">
      <c r="A2379" s="1">
        <f>HYPERLINK("http://www.twitter.com/NathanBLawrence/status/924699056496087040", "924699056496087040")</f>
        <v/>
      </c>
      <c r="B2379" s="2" t="n">
        <v>43037.7547337963</v>
      </c>
      <c r="C2379" t="n">
        <v>2</v>
      </c>
      <c r="D2379" t="n">
        <v>1</v>
      </c>
      <c r="E2379" t="s">
        <v>2388</v>
      </c>
      <c r="F2379" t="s"/>
      <c r="G2379" t="s"/>
      <c r="H2379" t="s"/>
      <c r="I2379" t="s"/>
      <c r="J2379" t="n">
        <v>-0.1546</v>
      </c>
      <c r="K2379" t="n">
        <v>0.131</v>
      </c>
      <c r="L2379" t="n">
        <v>0.759</v>
      </c>
      <c r="M2379" t="n">
        <v>0.11</v>
      </c>
    </row>
    <row r="2380" spans="1:13">
      <c r="A2380" s="1">
        <f>HYPERLINK("http://www.twitter.com/NathanBLawrence/status/924696771175075840", "924696771175075840")</f>
        <v/>
      </c>
      <c r="B2380" s="2" t="n">
        <v>43037.74842592593</v>
      </c>
      <c r="C2380" t="n">
        <v>0</v>
      </c>
      <c r="D2380" t="n">
        <v>0</v>
      </c>
      <c r="E2380" t="s">
        <v>2389</v>
      </c>
      <c r="F2380">
        <f>HYPERLINK("http://pbs.twimg.com/media/DNUuyrZUIAAMfzV.jpg", "http://pbs.twimg.com/media/DNUuyrZUIAAMfzV.jpg")</f>
        <v/>
      </c>
      <c r="G2380" t="s"/>
      <c r="H2380" t="s"/>
      <c r="I2380" t="s"/>
      <c r="J2380" t="n">
        <v>0.4939</v>
      </c>
      <c r="K2380" t="n">
        <v>0</v>
      </c>
      <c r="L2380" t="n">
        <v>0.738</v>
      </c>
      <c r="M2380" t="n">
        <v>0.262</v>
      </c>
    </row>
    <row r="2381" spans="1:13">
      <c r="A2381" s="1">
        <f>HYPERLINK("http://www.twitter.com/NathanBLawrence/status/924652079314100224", "924652079314100224")</f>
        <v/>
      </c>
      <c r="B2381" s="2" t="n">
        <v>43037.62510416667</v>
      </c>
      <c r="C2381" t="n">
        <v>0</v>
      </c>
      <c r="D2381" t="n">
        <v>0</v>
      </c>
      <c r="E2381" t="s">
        <v>2390</v>
      </c>
      <c r="F2381" t="s"/>
      <c r="G2381" t="s"/>
      <c r="H2381" t="s"/>
      <c r="I2381" t="s"/>
      <c r="J2381" t="n">
        <v>0.5106000000000001</v>
      </c>
      <c r="K2381" t="n">
        <v>0</v>
      </c>
      <c r="L2381" t="n">
        <v>0.645</v>
      </c>
      <c r="M2381" t="n">
        <v>0.355</v>
      </c>
    </row>
    <row r="2382" spans="1:13">
      <c r="A2382" s="1">
        <f>HYPERLINK("http://www.twitter.com/NathanBLawrence/status/924650816434294786", "924650816434294786")</f>
        <v/>
      </c>
      <c r="B2382" s="2" t="n">
        <v>43037.62162037037</v>
      </c>
      <c r="C2382" t="n">
        <v>1</v>
      </c>
      <c r="D2382" t="n">
        <v>1</v>
      </c>
      <c r="E2382" t="s">
        <v>2391</v>
      </c>
      <c r="F2382" t="s"/>
      <c r="G2382" t="s"/>
      <c r="H2382" t="s"/>
      <c r="I2382" t="s"/>
      <c r="J2382" t="n">
        <v>0</v>
      </c>
      <c r="K2382" t="n">
        <v>0</v>
      </c>
      <c r="L2382" t="n">
        <v>1</v>
      </c>
      <c r="M2382" t="n">
        <v>0</v>
      </c>
    </row>
    <row r="2383" spans="1:13">
      <c r="A2383" s="1">
        <f>HYPERLINK("http://www.twitter.com/NathanBLawrence/status/924645471578132481", "924645471578132481")</f>
        <v/>
      </c>
      <c r="B2383" s="2" t="n">
        <v>43037.606875</v>
      </c>
      <c r="C2383" t="n">
        <v>0</v>
      </c>
      <c r="D2383" t="n">
        <v>6643</v>
      </c>
      <c r="E2383" t="s">
        <v>2392</v>
      </c>
      <c r="F2383" t="s"/>
      <c r="G2383" t="s"/>
      <c r="H2383" t="s"/>
      <c r="I2383" t="s"/>
      <c r="J2383" t="n">
        <v>-0.5848</v>
      </c>
      <c r="K2383" t="n">
        <v>0.256</v>
      </c>
      <c r="L2383" t="n">
        <v>0.744</v>
      </c>
      <c r="M2383" t="n">
        <v>0</v>
      </c>
    </row>
    <row r="2384" spans="1:13">
      <c r="A2384" s="1">
        <f>HYPERLINK("http://www.twitter.com/NathanBLawrence/status/924496802887462914", "924496802887462914")</f>
        <v/>
      </c>
      <c r="B2384" s="2" t="n">
        <v>43037.19662037037</v>
      </c>
      <c r="C2384" t="n">
        <v>0</v>
      </c>
      <c r="D2384" t="n">
        <v>1</v>
      </c>
      <c r="E2384" t="s">
        <v>2393</v>
      </c>
      <c r="F2384" t="s"/>
      <c r="G2384" t="s"/>
      <c r="H2384" t="s"/>
      <c r="I2384" t="s"/>
      <c r="J2384" t="n">
        <v>0</v>
      </c>
      <c r="K2384" t="n">
        <v>0</v>
      </c>
      <c r="L2384" t="n">
        <v>1</v>
      </c>
      <c r="M2384" t="n">
        <v>0</v>
      </c>
    </row>
    <row r="2385" spans="1:13">
      <c r="A2385" s="1">
        <f>HYPERLINK("http://www.twitter.com/NathanBLawrence/status/924496652681072642", "924496652681072642")</f>
        <v/>
      </c>
      <c r="B2385" s="2" t="n">
        <v>43037.1962037037</v>
      </c>
      <c r="C2385" t="n">
        <v>0</v>
      </c>
      <c r="D2385" t="n">
        <v>794</v>
      </c>
      <c r="E2385" t="s">
        <v>2394</v>
      </c>
      <c r="F2385">
        <f>HYPERLINK("http://pbs.twimg.com/media/DNR0ylLXkAAFz9L.jpg", "http://pbs.twimg.com/media/DNR0ylLXkAAFz9L.jpg")</f>
        <v/>
      </c>
      <c r="G2385" t="s"/>
      <c r="H2385" t="s"/>
      <c r="I2385" t="s"/>
      <c r="J2385" t="n">
        <v>0.765</v>
      </c>
      <c r="K2385" t="n">
        <v>0</v>
      </c>
      <c r="L2385" t="n">
        <v>0.6909999999999999</v>
      </c>
      <c r="M2385" t="n">
        <v>0.309</v>
      </c>
    </row>
    <row r="2386" spans="1:13">
      <c r="A2386" s="1">
        <f>HYPERLINK("http://www.twitter.com/NathanBLawrence/status/924493801627975680", "924493801627975680")</f>
        <v/>
      </c>
      <c r="B2386" s="2" t="n">
        <v>43037.18834490741</v>
      </c>
      <c r="C2386" t="n">
        <v>0</v>
      </c>
      <c r="D2386" t="n">
        <v>0</v>
      </c>
      <c r="E2386" t="s">
        <v>2395</v>
      </c>
      <c r="F2386" t="s"/>
      <c r="G2386" t="s"/>
      <c r="H2386" t="s"/>
      <c r="I2386" t="s"/>
      <c r="J2386" t="n">
        <v>0</v>
      </c>
      <c r="K2386" t="n">
        <v>0</v>
      </c>
      <c r="L2386" t="n">
        <v>1</v>
      </c>
      <c r="M2386" t="n">
        <v>0</v>
      </c>
    </row>
    <row r="2387" spans="1:13">
      <c r="A2387" s="1">
        <f>HYPERLINK("http://www.twitter.com/NathanBLawrence/status/924493180611059717", "924493180611059717")</f>
        <v/>
      </c>
      <c r="B2387" s="2" t="n">
        <v>43037.18663194445</v>
      </c>
      <c r="C2387" t="n">
        <v>0</v>
      </c>
      <c r="D2387" t="n">
        <v>1</v>
      </c>
      <c r="E2387" t="s">
        <v>2396</v>
      </c>
      <c r="F2387" t="s"/>
      <c r="G2387" t="s"/>
      <c r="H2387" t="s"/>
      <c r="I2387" t="s"/>
      <c r="J2387" t="n">
        <v>0.7845</v>
      </c>
      <c r="K2387" t="n">
        <v>0</v>
      </c>
      <c r="L2387" t="n">
        <v>0.699</v>
      </c>
      <c r="M2387" t="n">
        <v>0.301</v>
      </c>
    </row>
    <row r="2388" spans="1:13">
      <c r="A2388" s="1">
        <f>HYPERLINK("http://www.twitter.com/NathanBLawrence/status/924492852746444800", "924492852746444800")</f>
        <v/>
      </c>
      <c r="B2388" s="2" t="n">
        <v>43037.18571759259</v>
      </c>
      <c r="C2388" t="n">
        <v>0</v>
      </c>
      <c r="D2388" t="n">
        <v>0</v>
      </c>
      <c r="E2388" t="s">
        <v>2397</v>
      </c>
      <c r="F2388" t="s"/>
      <c r="G2388" t="s"/>
      <c r="H2388" t="s"/>
      <c r="I2388" t="s"/>
      <c r="J2388" t="n">
        <v>0</v>
      </c>
      <c r="K2388" t="n">
        <v>0</v>
      </c>
      <c r="L2388" t="n">
        <v>1</v>
      </c>
      <c r="M2388" t="n">
        <v>0</v>
      </c>
    </row>
    <row r="2389" spans="1:13">
      <c r="A2389" s="1">
        <f>HYPERLINK("http://www.twitter.com/NathanBLawrence/status/924491525035307010", "924491525035307010")</f>
        <v/>
      </c>
      <c r="B2389" s="2" t="n">
        <v>43037.18206018519</v>
      </c>
      <c r="C2389" t="n">
        <v>0</v>
      </c>
      <c r="D2389" t="n">
        <v>2377</v>
      </c>
      <c r="E2389" t="s">
        <v>2398</v>
      </c>
      <c r="F2389" t="s"/>
      <c r="G2389" t="s"/>
      <c r="H2389" t="s"/>
      <c r="I2389" t="s"/>
      <c r="J2389" t="n">
        <v>0.3716</v>
      </c>
      <c r="K2389" t="n">
        <v>0</v>
      </c>
      <c r="L2389" t="n">
        <v>0.892</v>
      </c>
      <c r="M2389" t="n">
        <v>0.108</v>
      </c>
    </row>
    <row r="2390" spans="1:13">
      <c r="A2390" s="1">
        <f>HYPERLINK("http://www.twitter.com/NathanBLawrence/status/924447578661539840", "924447578661539840")</f>
        <v/>
      </c>
      <c r="B2390" s="2" t="n">
        <v>43037.06078703704</v>
      </c>
      <c r="C2390" t="n">
        <v>2</v>
      </c>
      <c r="D2390" t="n">
        <v>0</v>
      </c>
      <c r="E2390" t="s">
        <v>2399</v>
      </c>
      <c r="F2390" t="s"/>
      <c r="G2390" t="s"/>
      <c r="H2390" t="s"/>
      <c r="I2390" t="s"/>
      <c r="J2390" t="n">
        <v>-0.7845</v>
      </c>
      <c r="K2390" t="n">
        <v>0.434</v>
      </c>
      <c r="L2390" t="n">
        <v>0.5659999999999999</v>
      </c>
      <c r="M2390" t="n">
        <v>0</v>
      </c>
    </row>
    <row r="2391" spans="1:13">
      <c r="A2391" s="1">
        <f>HYPERLINK("http://www.twitter.com/NathanBLawrence/status/924440020924223489", "924440020924223489")</f>
        <v/>
      </c>
      <c r="B2391" s="2" t="n">
        <v>43037.03993055555</v>
      </c>
      <c r="C2391" t="n">
        <v>0</v>
      </c>
      <c r="D2391" t="n">
        <v>0</v>
      </c>
      <c r="E2391" t="s">
        <v>2400</v>
      </c>
      <c r="F2391" t="s"/>
      <c r="G2391" t="s"/>
      <c r="H2391" t="s"/>
      <c r="I2391" t="s"/>
      <c r="J2391" t="n">
        <v>0</v>
      </c>
      <c r="K2391" t="n">
        <v>0</v>
      </c>
      <c r="L2391" t="n">
        <v>1</v>
      </c>
      <c r="M2391" t="n">
        <v>0</v>
      </c>
    </row>
    <row r="2392" spans="1:13">
      <c r="A2392" s="1">
        <f>HYPERLINK("http://www.twitter.com/NathanBLawrence/status/924407717556518912", "924407717556518912")</f>
        <v/>
      </c>
      <c r="B2392" s="2" t="n">
        <v>43036.95079861111</v>
      </c>
      <c r="C2392" t="n">
        <v>0</v>
      </c>
      <c r="D2392" t="n">
        <v>0</v>
      </c>
      <c r="E2392" t="s">
        <v>2401</v>
      </c>
      <c r="F2392" t="s"/>
      <c r="G2392" t="s"/>
      <c r="H2392" t="s"/>
      <c r="I2392" t="s"/>
      <c r="J2392" t="n">
        <v>-0.6486</v>
      </c>
      <c r="K2392" t="n">
        <v>0.357</v>
      </c>
      <c r="L2392" t="n">
        <v>0.543</v>
      </c>
      <c r="M2392" t="n">
        <v>0.101</v>
      </c>
    </row>
    <row r="2393" spans="1:13">
      <c r="A2393" s="1">
        <f>HYPERLINK("http://www.twitter.com/NathanBLawrence/status/924327544144396288", "924327544144396288")</f>
        <v/>
      </c>
      <c r="B2393" s="2" t="n">
        <v>43036.72956018519</v>
      </c>
      <c r="C2393" t="n">
        <v>0</v>
      </c>
      <c r="D2393" t="n">
        <v>0</v>
      </c>
      <c r="E2393" t="s">
        <v>2402</v>
      </c>
      <c r="F2393" t="s"/>
      <c r="G2393" t="s"/>
      <c r="H2393" t="s"/>
      <c r="I2393" t="s"/>
      <c r="J2393" t="n">
        <v>0</v>
      </c>
      <c r="K2393" t="n">
        <v>0</v>
      </c>
      <c r="L2393" t="n">
        <v>1</v>
      </c>
      <c r="M2393" t="n">
        <v>0</v>
      </c>
    </row>
    <row r="2394" spans="1:13">
      <c r="A2394" s="1">
        <f>HYPERLINK("http://www.twitter.com/NathanBLawrence/status/924122990517870592", "924122990517870592")</f>
        <v/>
      </c>
      <c r="B2394" s="2" t="n">
        <v>43036.16509259259</v>
      </c>
      <c r="C2394" t="n">
        <v>0</v>
      </c>
      <c r="D2394" t="n">
        <v>0</v>
      </c>
      <c r="E2394" t="s">
        <v>2403</v>
      </c>
      <c r="F2394" t="s"/>
      <c r="G2394" t="s"/>
      <c r="H2394" t="s"/>
      <c r="I2394" t="s"/>
      <c r="J2394" t="n">
        <v>0.7177</v>
      </c>
      <c r="K2394" t="n">
        <v>0</v>
      </c>
      <c r="L2394" t="n">
        <v>0.759</v>
      </c>
      <c r="M2394" t="n">
        <v>0.241</v>
      </c>
    </row>
    <row r="2395" spans="1:13">
      <c r="A2395" s="1">
        <f>HYPERLINK("http://www.twitter.com/NathanBLawrence/status/924109229153292288", "924109229153292288")</f>
        <v/>
      </c>
      <c r="B2395" s="2" t="n">
        <v>43036.12712962963</v>
      </c>
      <c r="C2395" t="n">
        <v>0</v>
      </c>
      <c r="D2395" t="n">
        <v>0</v>
      </c>
      <c r="E2395" t="s">
        <v>2404</v>
      </c>
      <c r="F2395" t="s"/>
      <c r="G2395" t="s"/>
      <c r="H2395" t="s"/>
      <c r="I2395" t="s"/>
      <c r="J2395" t="n">
        <v>-0.5951</v>
      </c>
      <c r="K2395" t="n">
        <v>0.185</v>
      </c>
      <c r="L2395" t="n">
        <v>0.8149999999999999</v>
      </c>
      <c r="M2395" t="n">
        <v>0</v>
      </c>
    </row>
    <row r="2396" spans="1:13">
      <c r="A2396" s="1">
        <f>HYPERLINK("http://www.twitter.com/NathanBLawrence/status/924104849993502721", "924104849993502721")</f>
        <v/>
      </c>
      <c r="B2396" s="2" t="n">
        <v>43036.11503472222</v>
      </c>
      <c r="C2396" t="n">
        <v>0</v>
      </c>
      <c r="D2396" t="n">
        <v>0</v>
      </c>
      <c r="E2396" t="s">
        <v>2405</v>
      </c>
      <c r="F2396" t="s"/>
      <c r="G2396" t="s"/>
      <c r="H2396" t="s"/>
      <c r="I2396" t="s"/>
      <c r="J2396" t="n">
        <v>0</v>
      </c>
      <c r="K2396" t="n">
        <v>0</v>
      </c>
      <c r="L2396" t="n">
        <v>1</v>
      </c>
      <c r="M2396" t="n">
        <v>0</v>
      </c>
    </row>
    <row r="2397" spans="1:13">
      <c r="A2397" s="1">
        <f>HYPERLINK("http://www.twitter.com/NathanBLawrence/status/924101748461047808", "924101748461047808")</f>
        <v/>
      </c>
      <c r="B2397" s="2" t="n">
        <v>43036.10648148148</v>
      </c>
      <c r="C2397" t="n">
        <v>0</v>
      </c>
      <c r="D2397" t="n">
        <v>0</v>
      </c>
      <c r="E2397" t="s">
        <v>2406</v>
      </c>
      <c r="F2397" t="s"/>
      <c r="G2397" t="s"/>
      <c r="H2397" t="s"/>
      <c r="I2397" t="s"/>
      <c r="J2397" t="n">
        <v>0</v>
      </c>
      <c r="K2397" t="n">
        <v>0</v>
      </c>
      <c r="L2397" t="n">
        <v>1</v>
      </c>
      <c r="M2397" t="n">
        <v>0</v>
      </c>
    </row>
    <row r="2398" spans="1:13">
      <c r="A2398" s="1">
        <f>HYPERLINK("http://www.twitter.com/NathanBLawrence/status/924097559588634624", "924097559588634624")</f>
        <v/>
      </c>
      <c r="B2398" s="2" t="n">
        <v>43036.09491898148</v>
      </c>
      <c r="C2398" t="n">
        <v>1</v>
      </c>
      <c r="D2398" t="n">
        <v>0</v>
      </c>
      <c r="E2398" t="s">
        <v>2407</v>
      </c>
      <c r="F2398" t="s"/>
      <c r="G2398" t="s"/>
      <c r="H2398" t="s"/>
      <c r="I2398" t="s"/>
      <c r="J2398" t="n">
        <v>-0.3595</v>
      </c>
      <c r="K2398" t="n">
        <v>0.293</v>
      </c>
      <c r="L2398" t="n">
        <v>0.707</v>
      </c>
      <c r="M2398" t="n">
        <v>0</v>
      </c>
    </row>
    <row r="2399" spans="1:13">
      <c r="A2399" s="1">
        <f>HYPERLINK("http://www.twitter.com/NathanBLawrence/status/924097105966321665", "924097105966321665")</f>
        <v/>
      </c>
      <c r="B2399" s="2" t="n">
        <v>43036.09366898148</v>
      </c>
      <c r="C2399" t="n">
        <v>0</v>
      </c>
      <c r="D2399" t="n">
        <v>0</v>
      </c>
      <c r="E2399" t="s">
        <v>2408</v>
      </c>
      <c r="F2399" t="s"/>
      <c r="G2399" t="s"/>
      <c r="H2399" t="s"/>
      <c r="I2399" t="s"/>
      <c r="J2399" t="n">
        <v>0</v>
      </c>
      <c r="K2399" t="n">
        <v>0</v>
      </c>
      <c r="L2399" t="n">
        <v>1</v>
      </c>
      <c r="M2399" t="n">
        <v>0</v>
      </c>
    </row>
    <row r="2400" spans="1:13">
      <c r="A2400" s="1">
        <f>HYPERLINK("http://www.twitter.com/NathanBLawrence/status/924096403785252864", "924096403785252864")</f>
        <v/>
      </c>
      <c r="B2400" s="2" t="n">
        <v>43036.09173611111</v>
      </c>
      <c r="C2400" t="n">
        <v>0</v>
      </c>
      <c r="D2400" t="n">
        <v>0</v>
      </c>
      <c r="E2400" t="s">
        <v>2409</v>
      </c>
      <c r="F2400" t="s"/>
      <c r="G2400" t="s"/>
      <c r="H2400" t="s"/>
      <c r="I2400" t="s"/>
      <c r="J2400" t="n">
        <v>0</v>
      </c>
      <c r="K2400" t="n">
        <v>0</v>
      </c>
      <c r="L2400" t="n">
        <v>1</v>
      </c>
      <c r="M2400" t="n">
        <v>0</v>
      </c>
    </row>
    <row r="2401" spans="1:13">
      <c r="A2401" s="1">
        <f>HYPERLINK("http://www.twitter.com/NathanBLawrence/status/924066547223711744", "924066547223711744")</f>
        <v/>
      </c>
      <c r="B2401" s="2" t="n">
        <v>43036.00934027778</v>
      </c>
      <c r="C2401" t="n">
        <v>1</v>
      </c>
      <c r="D2401" t="n">
        <v>1</v>
      </c>
      <c r="E2401" t="s">
        <v>2410</v>
      </c>
      <c r="F2401" t="s"/>
      <c r="G2401" t="s"/>
      <c r="H2401" t="s"/>
      <c r="I2401" t="s"/>
      <c r="J2401" t="n">
        <v>0</v>
      </c>
      <c r="K2401" t="n">
        <v>0</v>
      </c>
      <c r="L2401" t="n">
        <v>1</v>
      </c>
      <c r="M2401" t="n">
        <v>0</v>
      </c>
    </row>
    <row r="2402" spans="1:13">
      <c r="A2402" s="1">
        <f>HYPERLINK("http://www.twitter.com/NathanBLawrence/status/924065859038875648", "924065859038875648")</f>
        <v/>
      </c>
      <c r="B2402" s="2" t="n">
        <v>43036.00744212963</v>
      </c>
      <c r="C2402" t="n">
        <v>0</v>
      </c>
      <c r="D2402" t="n">
        <v>0</v>
      </c>
      <c r="E2402" t="s">
        <v>2411</v>
      </c>
      <c r="F2402" t="s"/>
      <c r="G2402" t="s"/>
      <c r="H2402" t="s"/>
      <c r="I2402" t="s"/>
      <c r="J2402" t="n">
        <v>0.3612</v>
      </c>
      <c r="K2402" t="n">
        <v>0</v>
      </c>
      <c r="L2402" t="n">
        <v>0.902</v>
      </c>
      <c r="M2402" t="n">
        <v>0.098</v>
      </c>
    </row>
    <row r="2403" spans="1:13">
      <c r="A2403" s="1">
        <f>HYPERLINK("http://www.twitter.com/NathanBLawrence/status/924037656249552896", "924037656249552896")</f>
        <v/>
      </c>
      <c r="B2403" s="2" t="n">
        <v>43035.92961805555</v>
      </c>
      <c r="C2403" t="n">
        <v>0</v>
      </c>
      <c r="D2403" t="n">
        <v>0</v>
      </c>
      <c r="E2403" t="s">
        <v>2412</v>
      </c>
      <c r="F2403" t="s"/>
      <c r="G2403" t="s"/>
      <c r="H2403" t="s"/>
      <c r="I2403" t="s"/>
      <c r="J2403" t="n">
        <v>0</v>
      </c>
      <c r="K2403" t="n">
        <v>0</v>
      </c>
      <c r="L2403" t="n">
        <v>1</v>
      </c>
      <c r="M2403" t="n">
        <v>0</v>
      </c>
    </row>
    <row r="2404" spans="1:13">
      <c r="A2404" s="1">
        <f>HYPERLINK("http://www.twitter.com/NathanBLawrence/status/924008717825249281", "924008717825249281")</f>
        <v/>
      </c>
      <c r="B2404" s="2" t="n">
        <v>43035.84976851852</v>
      </c>
      <c r="C2404" t="n">
        <v>0</v>
      </c>
      <c r="D2404" t="n">
        <v>0</v>
      </c>
      <c r="E2404" t="s">
        <v>2413</v>
      </c>
      <c r="F2404" t="s"/>
      <c r="G2404" t="s"/>
      <c r="H2404" t="s"/>
      <c r="I2404" t="s"/>
      <c r="J2404" t="n">
        <v>0.2648</v>
      </c>
      <c r="K2404" t="n">
        <v>0</v>
      </c>
      <c r="L2404" t="n">
        <v>0.795</v>
      </c>
      <c r="M2404" t="n">
        <v>0.205</v>
      </c>
    </row>
    <row r="2405" spans="1:13">
      <c r="A2405" s="1">
        <f>HYPERLINK("http://www.twitter.com/NathanBLawrence/status/924008259870167042", "924008259870167042")</f>
        <v/>
      </c>
      <c r="B2405" s="2" t="n">
        <v>43035.84850694444</v>
      </c>
      <c r="C2405" t="n">
        <v>0</v>
      </c>
      <c r="D2405" t="n">
        <v>0</v>
      </c>
      <c r="E2405" t="s">
        <v>2414</v>
      </c>
      <c r="F2405" t="s"/>
      <c r="G2405" t="s"/>
      <c r="H2405" t="s"/>
      <c r="I2405" t="s"/>
      <c r="J2405" t="n">
        <v>-0.2263</v>
      </c>
      <c r="K2405" t="n">
        <v>0.241</v>
      </c>
      <c r="L2405" t="n">
        <v>0.584</v>
      </c>
      <c r="M2405" t="n">
        <v>0.175</v>
      </c>
    </row>
    <row r="2406" spans="1:13">
      <c r="A2406" s="1">
        <f>HYPERLINK("http://www.twitter.com/NathanBLawrence/status/923983237839507456", "923983237839507456")</f>
        <v/>
      </c>
      <c r="B2406" s="2" t="n">
        <v>43035.77945601852</v>
      </c>
      <c r="C2406" t="n">
        <v>0</v>
      </c>
      <c r="D2406" t="n">
        <v>0</v>
      </c>
      <c r="E2406" t="s">
        <v>2415</v>
      </c>
      <c r="F2406" t="s"/>
      <c r="G2406" t="s"/>
      <c r="H2406" t="s"/>
      <c r="I2406" t="s"/>
      <c r="J2406" t="n">
        <v>0</v>
      </c>
      <c r="K2406" t="n">
        <v>0</v>
      </c>
      <c r="L2406" t="n">
        <v>1</v>
      </c>
      <c r="M2406" t="n">
        <v>0</v>
      </c>
    </row>
    <row r="2407" spans="1:13">
      <c r="A2407" s="1">
        <f>HYPERLINK("http://www.twitter.com/NathanBLawrence/status/923980033273843713", "923980033273843713")</f>
        <v/>
      </c>
      <c r="B2407" s="2" t="n">
        <v>43035.77061342593</v>
      </c>
      <c r="C2407" t="n">
        <v>1</v>
      </c>
      <c r="D2407" t="n">
        <v>0</v>
      </c>
      <c r="E2407" t="s">
        <v>2416</v>
      </c>
      <c r="F2407" t="s"/>
      <c r="G2407" t="s"/>
      <c r="H2407" t="s"/>
      <c r="I2407" t="s"/>
      <c r="J2407" t="n">
        <v>0</v>
      </c>
      <c r="K2407" t="n">
        <v>0</v>
      </c>
      <c r="L2407" t="n">
        <v>1</v>
      </c>
      <c r="M2407" t="n">
        <v>0</v>
      </c>
    </row>
    <row r="2408" spans="1:13">
      <c r="A2408" s="1">
        <f>HYPERLINK("http://www.twitter.com/NathanBLawrence/status/923979690842427392", "923979690842427392")</f>
        <v/>
      </c>
      <c r="B2408" s="2" t="n">
        <v>43035.76966435185</v>
      </c>
      <c r="C2408" t="n">
        <v>0</v>
      </c>
      <c r="D2408" t="n">
        <v>0</v>
      </c>
      <c r="E2408" t="s">
        <v>2417</v>
      </c>
      <c r="F2408" t="s"/>
      <c r="G2408" t="s"/>
      <c r="H2408" t="s"/>
      <c r="I2408" t="s"/>
      <c r="J2408" t="n">
        <v>-0.3488</v>
      </c>
      <c r="K2408" t="n">
        <v>0.281</v>
      </c>
      <c r="L2408" t="n">
        <v>0.58</v>
      </c>
      <c r="M2408" t="n">
        <v>0.139</v>
      </c>
    </row>
    <row r="2409" spans="1:13">
      <c r="A2409" s="1">
        <f>HYPERLINK("http://www.twitter.com/NathanBLawrence/status/923924888741662720", "923924888741662720")</f>
        <v/>
      </c>
      <c r="B2409" s="2" t="n">
        <v>43035.6184375</v>
      </c>
      <c r="C2409" t="n">
        <v>0</v>
      </c>
      <c r="D2409" t="n">
        <v>11170</v>
      </c>
      <c r="E2409" t="s">
        <v>2418</v>
      </c>
      <c r="F2409" t="s"/>
      <c r="G2409" t="s"/>
      <c r="H2409" t="s"/>
      <c r="I2409" t="s"/>
      <c r="J2409" t="n">
        <v>0.3818</v>
      </c>
      <c r="K2409" t="n">
        <v>0.091</v>
      </c>
      <c r="L2409" t="n">
        <v>0.761</v>
      </c>
      <c r="M2409" t="n">
        <v>0.149</v>
      </c>
    </row>
    <row r="2410" spans="1:13">
      <c r="A2410" s="1">
        <f>HYPERLINK("http://www.twitter.com/NathanBLawrence/status/923652157081030656", "923652157081030656")</f>
        <v/>
      </c>
      <c r="B2410" s="2" t="n">
        <v>43034.86584490741</v>
      </c>
      <c r="C2410" t="n">
        <v>0</v>
      </c>
      <c r="D2410" t="n">
        <v>0</v>
      </c>
      <c r="E2410" t="s">
        <v>2419</v>
      </c>
      <c r="F2410" t="s"/>
      <c r="G2410" t="s"/>
      <c r="H2410" t="s"/>
      <c r="I2410" t="s"/>
      <c r="J2410" t="n">
        <v>0</v>
      </c>
      <c r="K2410" t="n">
        <v>0</v>
      </c>
      <c r="L2410" t="n">
        <v>1</v>
      </c>
      <c r="M2410" t="n">
        <v>0</v>
      </c>
    </row>
    <row r="2411" spans="1:13">
      <c r="A2411" s="1">
        <f>HYPERLINK("http://www.twitter.com/NathanBLawrence/status/923616204677410816", "923616204677410816")</f>
        <v/>
      </c>
      <c r="B2411" s="2" t="n">
        <v>43034.76663194445</v>
      </c>
      <c r="C2411" t="n">
        <v>0</v>
      </c>
      <c r="D2411" t="n">
        <v>0</v>
      </c>
      <c r="E2411" t="s">
        <v>2420</v>
      </c>
      <c r="F2411" t="s"/>
      <c r="G2411" t="s"/>
      <c r="H2411" t="s"/>
      <c r="I2411" t="s"/>
      <c r="J2411" t="n">
        <v>0</v>
      </c>
      <c r="K2411" t="n">
        <v>0</v>
      </c>
      <c r="L2411" t="n">
        <v>1</v>
      </c>
      <c r="M2411" t="n">
        <v>0</v>
      </c>
    </row>
    <row r="2412" spans="1:13">
      <c r="A2412" s="1">
        <f>HYPERLINK("http://www.twitter.com/NathanBLawrence/status/923496777235550210", "923496777235550210")</f>
        <v/>
      </c>
      <c r="B2412" s="2" t="n">
        <v>43034.43708333333</v>
      </c>
      <c r="C2412" t="n">
        <v>0</v>
      </c>
      <c r="D2412" t="n">
        <v>0</v>
      </c>
      <c r="E2412" t="s">
        <v>2421</v>
      </c>
      <c r="F2412" t="s"/>
      <c r="G2412" t="s"/>
      <c r="H2412" t="s"/>
      <c r="I2412" t="s"/>
      <c r="J2412" t="n">
        <v>0.4767</v>
      </c>
      <c r="K2412" t="n">
        <v>0</v>
      </c>
      <c r="L2412" t="n">
        <v>0.5629999999999999</v>
      </c>
      <c r="M2412" t="n">
        <v>0.437</v>
      </c>
    </row>
    <row r="2413" spans="1:13">
      <c r="A2413" s="1">
        <f>HYPERLINK("http://www.twitter.com/NathanBLawrence/status/923385786581569536", "923385786581569536")</f>
        <v/>
      </c>
      <c r="B2413" s="2" t="n">
        <v>43034.13079861111</v>
      </c>
      <c r="C2413" t="n">
        <v>0</v>
      </c>
      <c r="D2413" t="n">
        <v>0</v>
      </c>
      <c r="E2413" t="s">
        <v>2422</v>
      </c>
      <c r="F2413" t="s"/>
      <c r="G2413" t="s"/>
      <c r="H2413" t="s"/>
      <c r="I2413" t="s"/>
      <c r="J2413" t="n">
        <v>0</v>
      </c>
      <c r="K2413" t="n">
        <v>0</v>
      </c>
      <c r="L2413" t="n">
        <v>1</v>
      </c>
      <c r="M2413" t="n">
        <v>0</v>
      </c>
    </row>
    <row r="2414" spans="1:13">
      <c r="A2414" s="1">
        <f>HYPERLINK("http://www.twitter.com/NathanBLawrence/status/923381780891209728", "923381780891209728")</f>
        <v/>
      </c>
      <c r="B2414" s="2" t="n">
        <v>43034.11974537037</v>
      </c>
      <c r="C2414" t="n">
        <v>1</v>
      </c>
      <c r="D2414" t="n">
        <v>0</v>
      </c>
      <c r="E2414" t="s">
        <v>2423</v>
      </c>
      <c r="F2414" t="s"/>
      <c r="G2414" t="s"/>
      <c r="H2414" t="s"/>
      <c r="I2414" t="s"/>
      <c r="J2414" t="n">
        <v>0.5826</v>
      </c>
      <c r="K2414" t="n">
        <v>0</v>
      </c>
      <c r="L2414" t="n">
        <v>0.614</v>
      </c>
      <c r="M2414" t="n">
        <v>0.386</v>
      </c>
    </row>
    <row r="2415" spans="1:13">
      <c r="A2415" s="1">
        <f>HYPERLINK("http://www.twitter.com/NathanBLawrence/status/923368377376215040", "923368377376215040")</f>
        <v/>
      </c>
      <c r="B2415" s="2" t="n">
        <v>43034.0827662037</v>
      </c>
      <c r="C2415" t="n">
        <v>1</v>
      </c>
      <c r="D2415" t="n">
        <v>0</v>
      </c>
      <c r="E2415" t="s">
        <v>2424</v>
      </c>
      <c r="F2415" t="s"/>
      <c r="G2415" t="s"/>
      <c r="H2415" t="s"/>
      <c r="I2415" t="s"/>
      <c r="J2415" t="n">
        <v>0.2263</v>
      </c>
      <c r="K2415" t="n">
        <v>0</v>
      </c>
      <c r="L2415" t="n">
        <v>0.917</v>
      </c>
      <c r="M2415" t="n">
        <v>0.083</v>
      </c>
    </row>
    <row r="2416" spans="1:13">
      <c r="A2416" s="1">
        <f>HYPERLINK("http://www.twitter.com/NathanBLawrence/status/923291667628679168", "923291667628679168")</f>
        <v/>
      </c>
      <c r="B2416" s="2" t="n">
        <v>43033.87108796297</v>
      </c>
      <c r="C2416" t="n">
        <v>0</v>
      </c>
      <c r="D2416" t="n">
        <v>560</v>
      </c>
      <c r="E2416" t="s">
        <v>2425</v>
      </c>
      <c r="F2416">
        <f>HYPERLINK("http://pbs.twimg.com/media/DNAJgjQVoAAIFVw.jpg", "http://pbs.twimg.com/media/DNAJgjQVoAAIFVw.jpg")</f>
        <v/>
      </c>
      <c r="G2416" t="s"/>
      <c r="H2416" t="s"/>
      <c r="I2416" t="s"/>
      <c r="J2416" t="n">
        <v>0</v>
      </c>
      <c r="K2416" t="n">
        <v>0</v>
      </c>
      <c r="L2416" t="n">
        <v>1</v>
      </c>
      <c r="M2416" t="n">
        <v>0</v>
      </c>
    </row>
    <row r="2417" spans="1:13">
      <c r="A2417" s="1">
        <f>HYPERLINK("http://www.twitter.com/NathanBLawrence/status/923284442466136065", "923284442466136065")</f>
        <v/>
      </c>
      <c r="B2417" s="2" t="n">
        <v>43033.85114583333</v>
      </c>
      <c r="C2417" t="n">
        <v>1</v>
      </c>
      <c r="D2417" t="n">
        <v>0</v>
      </c>
      <c r="E2417" t="s">
        <v>2426</v>
      </c>
      <c r="F2417" t="s"/>
      <c r="G2417" t="s"/>
      <c r="H2417" t="s"/>
      <c r="I2417" t="s"/>
      <c r="J2417" t="n">
        <v>0</v>
      </c>
      <c r="K2417" t="n">
        <v>0</v>
      </c>
      <c r="L2417" t="n">
        <v>1</v>
      </c>
      <c r="M2417" t="n">
        <v>0</v>
      </c>
    </row>
    <row r="2418" spans="1:13">
      <c r="A2418" s="1">
        <f>HYPERLINK("http://www.twitter.com/NathanBLawrence/status/923284375533510661", "923284375533510661")</f>
        <v/>
      </c>
      <c r="B2418" s="2" t="n">
        <v>43033.85096064815</v>
      </c>
      <c r="C2418" t="n">
        <v>4</v>
      </c>
      <c r="D2418" t="n">
        <v>0</v>
      </c>
      <c r="E2418" t="s">
        <v>2427</v>
      </c>
      <c r="F2418" t="s"/>
      <c r="G2418" t="s"/>
      <c r="H2418" t="s"/>
      <c r="I2418" t="s"/>
      <c r="J2418" t="n">
        <v>0.6103</v>
      </c>
      <c r="K2418" t="n">
        <v>0</v>
      </c>
      <c r="L2418" t="n">
        <v>0.334</v>
      </c>
      <c r="M2418" t="n">
        <v>0.666</v>
      </c>
    </row>
    <row r="2419" spans="1:13">
      <c r="A2419" s="1">
        <f>HYPERLINK("http://www.twitter.com/NathanBLawrence/status/923275961956741122", "923275961956741122")</f>
        <v/>
      </c>
      <c r="B2419" s="2" t="n">
        <v>43033.82774305555</v>
      </c>
      <c r="C2419" t="n">
        <v>0</v>
      </c>
      <c r="D2419" t="n">
        <v>0</v>
      </c>
      <c r="E2419" t="s">
        <v>2428</v>
      </c>
      <c r="F2419" t="s"/>
      <c r="G2419" t="s"/>
      <c r="H2419" t="s"/>
      <c r="I2419" t="s"/>
      <c r="J2419" t="n">
        <v>0</v>
      </c>
      <c r="K2419" t="n">
        <v>0</v>
      </c>
      <c r="L2419" t="n">
        <v>1</v>
      </c>
      <c r="M2419" t="n">
        <v>0</v>
      </c>
    </row>
    <row r="2420" spans="1:13">
      <c r="A2420" s="1">
        <f>HYPERLINK("http://www.twitter.com/NathanBLawrence/status/923236401658855424", "923236401658855424")</f>
        <v/>
      </c>
      <c r="B2420" s="2" t="n">
        <v>43033.71857638889</v>
      </c>
      <c r="C2420" t="n">
        <v>0</v>
      </c>
      <c r="D2420" t="n">
        <v>1</v>
      </c>
      <c r="E2420" t="s">
        <v>2429</v>
      </c>
      <c r="F2420" t="s"/>
      <c r="G2420" t="s"/>
      <c r="H2420" t="s"/>
      <c r="I2420" t="s"/>
      <c r="J2420" t="n">
        <v>-0.4404</v>
      </c>
      <c r="K2420" t="n">
        <v>0.132</v>
      </c>
      <c r="L2420" t="n">
        <v>0.868</v>
      </c>
      <c r="M2420" t="n">
        <v>0</v>
      </c>
    </row>
    <row r="2421" spans="1:13">
      <c r="A2421" s="1">
        <f>HYPERLINK("http://www.twitter.com/NathanBLawrence/status/923232198354001920", "923232198354001920")</f>
        <v/>
      </c>
      <c r="B2421" s="2" t="n">
        <v>43033.70697916667</v>
      </c>
      <c r="C2421" t="n">
        <v>1</v>
      </c>
      <c r="D2421" t="n">
        <v>0</v>
      </c>
      <c r="E2421" t="s">
        <v>2430</v>
      </c>
      <c r="F2421" t="s"/>
      <c r="G2421" t="s"/>
      <c r="H2421" t="s"/>
      <c r="I2421" t="s"/>
      <c r="J2421" t="n">
        <v>0.7556</v>
      </c>
      <c r="K2421" t="n">
        <v>0</v>
      </c>
      <c r="L2421" t="n">
        <v>0.481</v>
      </c>
      <c r="M2421" t="n">
        <v>0.519</v>
      </c>
    </row>
    <row r="2422" spans="1:13">
      <c r="A2422" s="1">
        <f>HYPERLINK("http://www.twitter.com/NathanBLawrence/status/923187015872598016", "923187015872598016")</f>
        <v/>
      </c>
      <c r="B2422" s="2" t="n">
        <v>43033.58230324074</v>
      </c>
      <c r="C2422" t="n">
        <v>0</v>
      </c>
      <c r="D2422" t="n">
        <v>0</v>
      </c>
      <c r="E2422" t="s">
        <v>2431</v>
      </c>
      <c r="F2422" t="s"/>
      <c r="G2422" t="s"/>
      <c r="H2422" t="s"/>
      <c r="I2422" t="s"/>
      <c r="J2422" t="n">
        <v>-0.6486</v>
      </c>
      <c r="K2422" t="n">
        <v>0.301</v>
      </c>
      <c r="L2422" t="n">
        <v>0.699</v>
      </c>
      <c r="M2422" t="n">
        <v>0</v>
      </c>
    </row>
    <row r="2423" spans="1:13">
      <c r="A2423" s="1">
        <f>HYPERLINK("http://www.twitter.com/NathanBLawrence/status/923172113078542336", "923172113078542336")</f>
        <v/>
      </c>
      <c r="B2423" s="2" t="n">
        <v>43033.54118055556</v>
      </c>
      <c r="C2423" t="n">
        <v>0</v>
      </c>
      <c r="D2423" t="n">
        <v>486</v>
      </c>
      <c r="E2423" t="s">
        <v>2432</v>
      </c>
      <c r="F2423">
        <f>HYPERLINK("http://pbs.twimg.com/media/DM--dGqWsAAtKir.jpg", "http://pbs.twimg.com/media/DM--dGqWsAAtKir.jpg")</f>
        <v/>
      </c>
      <c r="G2423" t="s"/>
      <c r="H2423" t="s"/>
      <c r="I2423" t="s"/>
      <c r="J2423" t="n">
        <v>0</v>
      </c>
      <c r="K2423" t="n">
        <v>0</v>
      </c>
      <c r="L2423" t="n">
        <v>1</v>
      </c>
      <c r="M2423" t="n">
        <v>0</v>
      </c>
    </row>
    <row r="2424" spans="1:13">
      <c r="A2424" s="1">
        <f>HYPERLINK("http://www.twitter.com/NathanBLawrence/status/923023993229250560", "923023993229250560")</f>
        <v/>
      </c>
      <c r="B2424" s="2" t="n">
        <v>43033.13244212963</v>
      </c>
      <c r="C2424" t="n">
        <v>0</v>
      </c>
      <c r="D2424" t="n">
        <v>0</v>
      </c>
      <c r="E2424" t="s">
        <v>2433</v>
      </c>
      <c r="F2424" t="s"/>
      <c r="G2424" t="s"/>
      <c r="H2424" t="s"/>
      <c r="I2424" t="s"/>
      <c r="J2424" t="n">
        <v>0.6948</v>
      </c>
      <c r="K2424" t="n">
        <v>0.162</v>
      </c>
      <c r="L2424" t="n">
        <v>0.598</v>
      </c>
      <c r="M2424" t="n">
        <v>0.24</v>
      </c>
    </row>
    <row r="2425" spans="1:13">
      <c r="A2425" s="1">
        <f>HYPERLINK("http://www.twitter.com/NathanBLawrence/status/923021309189206016", "923021309189206016")</f>
        <v/>
      </c>
      <c r="B2425" s="2" t="n">
        <v>43033.12503472222</v>
      </c>
      <c r="C2425" t="n">
        <v>0</v>
      </c>
      <c r="D2425" t="n">
        <v>6</v>
      </c>
      <c r="E2425" t="s">
        <v>2434</v>
      </c>
      <c r="F2425" t="s"/>
      <c r="G2425" t="s"/>
      <c r="H2425" t="s"/>
      <c r="I2425" t="s"/>
      <c r="J2425" t="n">
        <v>0</v>
      </c>
      <c r="K2425" t="n">
        <v>0</v>
      </c>
      <c r="L2425" t="n">
        <v>1</v>
      </c>
      <c r="M2425" t="n">
        <v>0</v>
      </c>
    </row>
    <row r="2426" spans="1:13">
      <c r="A2426" s="1">
        <f>HYPERLINK("http://www.twitter.com/NathanBLawrence/status/923017832807444480", "923017832807444480")</f>
        <v/>
      </c>
      <c r="B2426" s="2" t="n">
        <v>43033.11543981481</v>
      </c>
      <c r="C2426" t="n">
        <v>0</v>
      </c>
      <c r="D2426" t="n">
        <v>5</v>
      </c>
      <c r="E2426" t="s">
        <v>2435</v>
      </c>
      <c r="F2426" t="s"/>
      <c r="G2426" t="s"/>
      <c r="H2426" t="s"/>
      <c r="I2426" t="s"/>
      <c r="J2426" t="n">
        <v>0</v>
      </c>
      <c r="K2426" t="n">
        <v>0</v>
      </c>
      <c r="L2426" t="n">
        <v>1</v>
      </c>
      <c r="M2426" t="n">
        <v>0</v>
      </c>
    </row>
    <row r="2427" spans="1:13">
      <c r="A2427" s="1">
        <f>HYPERLINK("http://www.twitter.com/NathanBLawrence/status/923017592868130816", "923017592868130816")</f>
        <v/>
      </c>
      <c r="B2427" s="2" t="n">
        <v>43033.11478009259</v>
      </c>
      <c r="C2427" t="n">
        <v>0</v>
      </c>
      <c r="D2427" t="n">
        <v>3</v>
      </c>
      <c r="E2427" t="s">
        <v>2436</v>
      </c>
      <c r="F2427" t="s"/>
      <c r="G2427" t="s"/>
      <c r="H2427" t="s"/>
      <c r="I2427" t="s"/>
      <c r="J2427" t="n">
        <v>0</v>
      </c>
      <c r="K2427" t="n">
        <v>0</v>
      </c>
      <c r="L2427" t="n">
        <v>1</v>
      </c>
      <c r="M2427" t="n">
        <v>0</v>
      </c>
    </row>
    <row r="2428" spans="1:13">
      <c r="A2428" s="1">
        <f>HYPERLINK("http://www.twitter.com/NathanBLawrence/status/923015814869061634", "923015814869061634")</f>
        <v/>
      </c>
      <c r="B2428" s="2" t="n">
        <v>43033.10987268519</v>
      </c>
      <c r="C2428" t="n">
        <v>0</v>
      </c>
      <c r="D2428" t="n">
        <v>67</v>
      </c>
      <c r="E2428" t="s">
        <v>2437</v>
      </c>
      <c r="F2428" t="s"/>
      <c r="G2428" t="s"/>
      <c r="H2428" t="s"/>
      <c r="I2428" t="s"/>
      <c r="J2428" t="n">
        <v>-0.3566</v>
      </c>
      <c r="K2428" t="n">
        <v>0.226</v>
      </c>
      <c r="L2428" t="n">
        <v>0.672</v>
      </c>
      <c r="M2428" t="n">
        <v>0.103</v>
      </c>
    </row>
    <row r="2429" spans="1:13">
      <c r="A2429" s="1">
        <f>HYPERLINK("http://www.twitter.com/NathanBLawrence/status/922999495318700032", "922999495318700032")</f>
        <v/>
      </c>
      <c r="B2429" s="2" t="n">
        <v>43033.06483796296</v>
      </c>
      <c r="C2429" t="n">
        <v>0</v>
      </c>
      <c r="D2429" t="n">
        <v>655</v>
      </c>
      <c r="E2429" t="s">
        <v>2438</v>
      </c>
      <c r="F2429" t="s"/>
      <c r="G2429" t="s"/>
      <c r="H2429" t="s"/>
      <c r="I2429" t="s"/>
      <c r="J2429" t="n">
        <v>-0.25</v>
      </c>
      <c r="K2429" t="n">
        <v>0.158</v>
      </c>
      <c r="L2429" t="n">
        <v>0.726</v>
      </c>
      <c r="M2429" t="n">
        <v>0.115</v>
      </c>
    </row>
    <row r="2430" spans="1:13">
      <c r="A2430" s="1">
        <f>HYPERLINK("http://www.twitter.com/NathanBLawrence/status/922976233494925313", "922976233494925313")</f>
        <v/>
      </c>
      <c r="B2430" s="2" t="n">
        <v>43033.00064814815</v>
      </c>
      <c r="C2430" t="n">
        <v>0</v>
      </c>
      <c r="D2430" t="n">
        <v>0</v>
      </c>
      <c r="E2430" t="s">
        <v>2439</v>
      </c>
      <c r="F2430" t="s"/>
      <c r="G2430" t="s"/>
      <c r="H2430" t="s"/>
      <c r="I2430" t="s"/>
      <c r="J2430" t="n">
        <v>0.5538</v>
      </c>
      <c r="K2430" t="n">
        <v>0</v>
      </c>
      <c r="L2430" t="n">
        <v>0.662</v>
      </c>
      <c r="M2430" t="n">
        <v>0.338</v>
      </c>
    </row>
    <row r="2431" spans="1:13">
      <c r="A2431" s="1">
        <f>HYPERLINK("http://www.twitter.com/NathanBLawrence/status/922763239263522816", "922763239263522816")</f>
        <v/>
      </c>
      <c r="B2431" s="2" t="n">
        <v>43032.41290509259</v>
      </c>
      <c r="C2431" t="n">
        <v>0</v>
      </c>
      <c r="D2431" t="n">
        <v>0</v>
      </c>
      <c r="E2431" t="s">
        <v>2440</v>
      </c>
      <c r="F2431" t="s"/>
      <c r="G2431" t="s"/>
      <c r="H2431" t="s"/>
      <c r="I2431" t="s"/>
      <c r="J2431" t="n">
        <v>0</v>
      </c>
      <c r="K2431" t="n">
        <v>0</v>
      </c>
      <c r="L2431" t="n">
        <v>1</v>
      </c>
      <c r="M2431" t="n">
        <v>0</v>
      </c>
    </row>
    <row r="2432" spans="1:13">
      <c r="A2432" s="1">
        <f>HYPERLINK("http://www.twitter.com/NathanBLawrence/status/922670333869600768", "922670333869600768")</f>
        <v/>
      </c>
      <c r="B2432" s="2" t="n">
        <v>43032.15652777778</v>
      </c>
      <c r="C2432" t="n">
        <v>0</v>
      </c>
      <c r="D2432" t="n">
        <v>0</v>
      </c>
      <c r="E2432" t="s">
        <v>2441</v>
      </c>
      <c r="F2432" t="s"/>
      <c r="G2432" t="s"/>
      <c r="H2432" t="s"/>
      <c r="I2432" t="s"/>
      <c r="J2432" t="n">
        <v>-0.296</v>
      </c>
      <c r="K2432" t="n">
        <v>0.128</v>
      </c>
      <c r="L2432" t="n">
        <v>0.872</v>
      </c>
      <c r="M2432" t="n">
        <v>0</v>
      </c>
    </row>
    <row r="2433" spans="1:13">
      <c r="A2433" s="1">
        <f>HYPERLINK("http://www.twitter.com/NathanBLawrence/status/922669089373540357", "922669089373540357")</f>
        <v/>
      </c>
      <c r="B2433" s="2" t="n">
        <v>43032.15309027778</v>
      </c>
      <c r="C2433" t="n">
        <v>1</v>
      </c>
      <c r="D2433" t="n">
        <v>0</v>
      </c>
      <c r="E2433" t="s">
        <v>2442</v>
      </c>
      <c r="F2433" t="s"/>
      <c r="G2433" t="s"/>
      <c r="H2433" t="s"/>
      <c r="I2433" t="s"/>
      <c r="J2433" t="n">
        <v>0.296</v>
      </c>
      <c r="K2433" t="n">
        <v>0</v>
      </c>
      <c r="L2433" t="n">
        <v>0.845</v>
      </c>
      <c r="M2433" t="n">
        <v>0.155</v>
      </c>
    </row>
    <row r="2434" spans="1:13">
      <c r="A2434" s="1">
        <f>HYPERLINK("http://www.twitter.com/NathanBLawrence/status/922668406427602945", "922668406427602945")</f>
        <v/>
      </c>
      <c r="B2434" s="2" t="n">
        <v>43032.15121527778</v>
      </c>
      <c r="C2434" t="n">
        <v>1</v>
      </c>
      <c r="D2434" t="n">
        <v>0</v>
      </c>
      <c r="E2434" t="s">
        <v>2443</v>
      </c>
      <c r="F2434" t="s"/>
      <c r="G2434" t="s"/>
      <c r="H2434" t="s"/>
      <c r="I2434" t="s"/>
      <c r="J2434" t="n">
        <v>-0.0772</v>
      </c>
      <c r="K2434" t="n">
        <v>0.181</v>
      </c>
      <c r="L2434" t="n">
        <v>0.653</v>
      </c>
      <c r="M2434" t="n">
        <v>0.166</v>
      </c>
    </row>
    <row r="2435" spans="1:13">
      <c r="A2435" s="1">
        <f>HYPERLINK("http://www.twitter.com/NathanBLawrence/status/922663481576448006", "922663481576448006")</f>
        <v/>
      </c>
      <c r="B2435" s="2" t="n">
        <v>43032.13761574074</v>
      </c>
      <c r="C2435" t="n">
        <v>0</v>
      </c>
      <c r="D2435" t="n">
        <v>0</v>
      </c>
      <c r="E2435" t="s">
        <v>2444</v>
      </c>
      <c r="F2435" t="s"/>
      <c r="G2435" t="s"/>
      <c r="H2435" t="s"/>
      <c r="I2435" t="s"/>
      <c r="J2435" t="n">
        <v>0</v>
      </c>
      <c r="K2435" t="n">
        <v>0</v>
      </c>
      <c r="L2435" t="n">
        <v>1</v>
      </c>
      <c r="M2435" t="n">
        <v>0</v>
      </c>
    </row>
    <row r="2436" spans="1:13">
      <c r="A2436" s="1">
        <f>HYPERLINK("http://www.twitter.com/NathanBLawrence/status/922661391412187137", "922661391412187137")</f>
        <v/>
      </c>
      <c r="B2436" s="2" t="n">
        <v>43032.13185185185</v>
      </c>
      <c r="C2436" t="n">
        <v>1</v>
      </c>
      <c r="D2436" t="n">
        <v>0</v>
      </c>
      <c r="E2436" t="s">
        <v>2445</v>
      </c>
      <c r="F2436" t="s"/>
      <c r="G2436" t="s"/>
      <c r="H2436" t="s"/>
      <c r="I2436" t="s"/>
      <c r="J2436" t="n">
        <v>-0.0492</v>
      </c>
      <c r="K2436" t="n">
        <v>0.063</v>
      </c>
      <c r="L2436" t="n">
        <v>0.883</v>
      </c>
      <c r="M2436" t="n">
        <v>0.054</v>
      </c>
    </row>
    <row r="2437" spans="1:13">
      <c r="A2437" s="1">
        <f>HYPERLINK("http://www.twitter.com/NathanBLawrence/status/922660940658733057", "922660940658733057")</f>
        <v/>
      </c>
      <c r="B2437" s="2" t="n">
        <v>43032.13061342593</v>
      </c>
      <c r="C2437" t="n">
        <v>1</v>
      </c>
      <c r="D2437" t="n">
        <v>0</v>
      </c>
      <c r="E2437" t="s">
        <v>2446</v>
      </c>
      <c r="F2437" t="s"/>
      <c r="G2437" t="s"/>
      <c r="H2437" t="s"/>
      <c r="I2437" t="s"/>
      <c r="J2437" t="n">
        <v>0</v>
      </c>
      <c r="K2437" t="n">
        <v>0</v>
      </c>
      <c r="L2437" t="n">
        <v>1</v>
      </c>
      <c r="M2437" t="n">
        <v>0</v>
      </c>
    </row>
    <row r="2438" spans="1:13">
      <c r="A2438" s="1">
        <f>HYPERLINK("http://www.twitter.com/NathanBLawrence/status/922647386777903104", "922647386777903104")</f>
        <v/>
      </c>
      <c r="B2438" s="2" t="n">
        <v>43032.09320601852</v>
      </c>
      <c r="C2438" t="n">
        <v>0</v>
      </c>
      <c r="D2438" t="n">
        <v>0</v>
      </c>
      <c r="E2438" t="s">
        <v>2447</v>
      </c>
      <c r="F2438" t="s"/>
      <c r="G2438" t="s"/>
      <c r="H2438" t="s"/>
      <c r="I2438" t="s"/>
      <c r="J2438" t="n">
        <v>0.3382</v>
      </c>
      <c r="K2438" t="n">
        <v>0</v>
      </c>
      <c r="L2438" t="n">
        <v>0.893</v>
      </c>
      <c r="M2438" t="n">
        <v>0.107</v>
      </c>
    </row>
    <row r="2439" spans="1:13">
      <c r="A2439" s="1">
        <f>HYPERLINK("http://www.twitter.com/NathanBLawrence/status/922629920270028800", "922629920270028800")</f>
        <v/>
      </c>
      <c r="B2439" s="2" t="n">
        <v>43032.04501157408</v>
      </c>
      <c r="C2439" t="n">
        <v>0</v>
      </c>
      <c r="D2439" t="n">
        <v>2167</v>
      </c>
      <c r="E2439" t="s">
        <v>2448</v>
      </c>
      <c r="F2439">
        <f>HYPERLINK("http://pbs.twimg.com/media/DMTJuDXWsAA7_AV.jpg", "http://pbs.twimg.com/media/DMTJuDXWsAA7_AV.jpg")</f>
        <v/>
      </c>
      <c r="G2439" t="s"/>
      <c r="H2439" t="s"/>
      <c r="I2439" t="s"/>
      <c r="J2439" t="n">
        <v>0.6696</v>
      </c>
      <c r="K2439" t="n">
        <v>0</v>
      </c>
      <c r="L2439" t="n">
        <v>0.667</v>
      </c>
      <c r="M2439" t="n">
        <v>0.333</v>
      </c>
    </row>
    <row r="2440" spans="1:13">
      <c r="A2440" s="1">
        <f>HYPERLINK("http://www.twitter.com/NathanBLawrence/status/922616648372248576", "922616648372248576")</f>
        <v/>
      </c>
      <c r="B2440" s="2" t="n">
        <v>43032.0083912037</v>
      </c>
      <c r="C2440" t="n">
        <v>1</v>
      </c>
      <c r="D2440" t="n">
        <v>1</v>
      </c>
      <c r="E2440" t="s">
        <v>2449</v>
      </c>
      <c r="F2440" t="s"/>
      <c r="G2440" t="s"/>
      <c r="H2440" t="s"/>
      <c r="I2440" t="s"/>
      <c r="J2440" t="n">
        <v>0</v>
      </c>
      <c r="K2440" t="n">
        <v>0</v>
      </c>
      <c r="L2440" t="n">
        <v>1</v>
      </c>
      <c r="M2440" t="n">
        <v>0</v>
      </c>
    </row>
    <row r="2441" spans="1:13">
      <c r="A2441" s="1">
        <f>HYPERLINK("http://www.twitter.com/NathanBLawrence/status/922612452818325504", "922612452818325504")</f>
        <v/>
      </c>
      <c r="B2441" s="2" t="n">
        <v>43031.99680555556</v>
      </c>
      <c r="C2441" t="n">
        <v>2</v>
      </c>
      <c r="D2441" t="n">
        <v>0</v>
      </c>
      <c r="E2441" t="s">
        <v>2450</v>
      </c>
      <c r="F2441" t="s"/>
      <c r="G2441" t="s"/>
      <c r="H2441" t="s"/>
      <c r="I2441" t="s"/>
      <c r="J2441" t="n">
        <v>0</v>
      </c>
      <c r="K2441" t="n">
        <v>0</v>
      </c>
      <c r="L2441" t="n">
        <v>1</v>
      </c>
      <c r="M2441" t="n">
        <v>0</v>
      </c>
    </row>
    <row r="2442" spans="1:13">
      <c r="A2442" s="1">
        <f>HYPERLINK("http://www.twitter.com/NathanBLawrence/status/922558645291945990", "922558645291945990")</f>
        <v/>
      </c>
      <c r="B2442" s="2" t="n">
        <v>43031.84833333334</v>
      </c>
      <c r="C2442" t="n">
        <v>0</v>
      </c>
      <c r="D2442" t="n">
        <v>0</v>
      </c>
      <c r="E2442" t="s">
        <v>2451</v>
      </c>
      <c r="F2442" t="s"/>
      <c r="G2442" t="s"/>
      <c r="H2442" t="s"/>
      <c r="I2442" t="s"/>
      <c r="J2442" t="n">
        <v>0.3182</v>
      </c>
      <c r="K2442" t="n">
        <v>0.067</v>
      </c>
      <c r="L2442" t="n">
        <v>0.8070000000000001</v>
      </c>
      <c r="M2442" t="n">
        <v>0.126</v>
      </c>
    </row>
    <row r="2443" spans="1:13">
      <c r="A2443" s="1">
        <f>HYPERLINK("http://www.twitter.com/NathanBLawrence/status/922555602685046784", "922555602685046784")</f>
        <v/>
      </c>
      <c r="B2443" s="2" t="n">
        <v>43031.83993055556</v>
      </c>
      <c r="C2443" t="n">
        <v>0</v>
      </c>
      <c r="D2443" t="n">
        <v>0</v>
      </c>
      <c r="E2443" t="s">
        <v>2452</v>
      </c>
      <c r="F2443" t="s"/>
      <c r="G2443" t="s"/>
      <c r="H2443" t="s"/>
      <c r="I2443" t="s"/>
      <c r="J2443" t="n">
        <v>0</v>
      </c>
      <c r="K2443" t="n">
        <v>0</v>
      </c>
      <c r="L2443" t="n">
        <v>1</v>
      </c>
      <c r="M2443" t="n">
        <v>0</v>
      </c>
    </row>
    <row r="2444" spans="1:13">
      <c r="A2444" s="1">
        <f>HYPERLINK("http://www.twitter.com/NathanBLawrence/status/922545744501968896", "922545744501968896")</f>
        <v/>
      </c>
      <c r="B2444" s="2" t="n">
        <v>43031.81273148148</v>
      </c>
      <c r="C2444" t="n">
        <v>0</v>
      </c>
      <c r="D2444" t="n">
        <v>0</v>
      </c>
      <c r="E2444" t="s">
        <v>2453</v>
      </c>
      <c r="F2444" t="s"/>
      <c r="G2444" t="s"/>
      <c r="H2444" t="s"/>
      <c r="I2444" t="s"/>
      <c r="J2444" t="n">
        <v>0.3818</v>
      </c>
      <c r="K2444" t="n">
        <v>0</v>
      </c>
      <c r="L2444" t="n">
        <v>0.867</v>
      </c>
      <c r="M2444" t="n">
        <v>0.133</v>
      </c>
    </row>
    <row r="2445" spans="1:13">
      <c r="A2445" s="1">
        <f>HYPERLINK("http://www.twitter.com/NathanBLawrence/status/922544077052284928", "922544077052284928")</f>
        <v/>
      </c>
      <c r="B2445" s="2" t="n">
        <v>43031.808125</v>
      </c>
      <c r="C2445" t="n">
        <v>44</v>
      </c>
      <c r="D2445" t="n">
        <v>14</v>
      </c>
      <c r="E2445" t="s">
        <v>2454</v>
      </c>
      <c r="F2445" t="s"/>
      <c r="G2445" t="s"/>
      <c r="H2445" t="s"/>
      <c r="I2445" t="s"/>
      <c r="J2445" t="n">
        <v>0</v>
      </c>
      <c r="K2445" t="n">
        <v>0</v>
      </c>
      <c r="L2445" t="n">
        <v>1</v>
      </c>
      <c r="M2445" t="n">
        <v>0</v>
      </c>
    </row>
    <row r="2446" spans="1:13">
      <c r="A2446" s="1">
        <f>HYPERLINK("http://www.twitter.com/NathanBLawrence/status/922500643104927746", "922500643104927746")</f>
        <v/>
      </c>
      <c r="B2446" s="2" t="n">
        <v>43031.68827546296</v>
      </c>
      <c r="C2446" t="n">
        <v>0</v>
      </c>
      <c r="D2446" t="n">
        <v>0</v>
      </c>
      <c r="E2446" t="s">
        <v>2455</v>
      </c>
      <c r="F2446" t="s"/>
      <c r="G2446" t="s"/>
      <c r="H2446" t="s"/>
      <c r="I2446" t="s"/>
      <c r="J2446" t="n">
        <v>0</v>
      </c>
      <c r="K2446" t="n">
        <v>0</v>
      </c>
      <c r="L2446" t="n">
        <v>1</v>
      </c>
      <c r="M2446" t="n">
        <v>0</v>
      </c>
    </row>
    <row r="2447" spans="1:13">
      <c r="A2447" s="1">
        <f>HYPERLINK("http://www.twitter.com/NathanBLawrence/status/922451534620889088", "922451534620889088")</f>
        <v/>
      </c>
      <c r="B2447" s="2" t="n">
        <v>43031.55275462963</v>
      </c>
      <c r="C2447" t="n">
        <v>1</v>
      </c>
      <c r="D2447" t="n">
        <v>0</v>
      </c>
      <c r="E2447" t="s">
        <v>2456</v>
      </c>
      <c r="F2447" t="s"/>
      <c r="G2447" t="s"/>
      <c r="H2447" t="s"/>
      <c r="I2447" t="s"/>
      <c r="J2447" t="n">
        <v>-0.0772</v>
      </c>
      <c r="K2447" t="n">
        <v>0.145</v>
      </c>
      <c r="L2447" t="n">
        <v>0.67</v>
      </c>
      <c r="M2447" t="n">
        <v>0.184</v>
      </c>
    </row>
    <row r="2448" spans="1:13">
      <c r="A2448" s="1">
        <f>HYPERLINK("http://www.twitter.com/NathanBLawrence/status/922438571558088705", "922438571558088705")</f>
        <v/>
      </c>
      <c r="B2448" s="2" t="n">
        <v>43031.51699074074</v>
      </c>
      <c r="C2448" t="n">
        <v>1</v>
      </c>
      <c r="D2448" t="n">
        <v>0</v>
      </c>
      <c r="E2448" t="s">
        <v>2457</v>
      </c>
      <c r="F2448" t="s"/>
      <c r="G2448" t="s"/>
      <c r="H2448" t="s"/>
      <c r="I2448" t="s"/>
      <c r="J2448" t="n">
        <v>0.1486</v>
      </c>
      <c r="K2448" t="n">
        <v>0.115</v>
      </c>
      <c r="L2448" t="n">
        <v>0.696</v>
      </c>
      <c r="M2448" t="n">
        <v>0.189</v>
      </c>
    </row>
    <row r="2449" spans="1:13">
      <c r="A2449" s="1">
        <f>HYPERLINK("http://www.twitter.com/NathanBLawrence/status/922265665062539264", "922265665062539264")</f>
        <v/>
      </c>
      <c r="B2449" s="2" t="n">
        <v>43031.03986111111</v>
      </c>
      <c r="C2449" t="n">
        <v>3</v>
      </c>
      <c r="D2449" t="n">
        <v>0</v>
      </c>
      <c r="E2449" t="s">
        <v>2458</v>
      </c>
      <c r="F2449" t="s"/>
      <c r="G2449" t="s"/>
      <c r="H2449" t="s"/>
      <c r="I2449" t="s"/>
      <c r="J2449" t="n">
        <v>0.3182</v>
      </c>
      <c r="K2449" t="n">
        <v>0</v>
      </c>
      <c r="L2449" t="n">
        <v>0.839</v>
      </c>
      <c r="M2449" t="n">
        <v>0.161</v>
      </c>
    </row>
    <row r="2450" spans="1:13">
      <c r="A2450" s="1">
        <f>HYPERLINK("http://www.twitter.com/NathanBLawrence/status/922261457450012679", "922261457450012679")</f>
        <v/>
      </c>
      <c r="B2450" s="2" t="n">
        <v>43031.02824074074</v>
      </c>
      <c r="C2450" t="n">
        <v>0</v>
      </c>
      <c r="D2450" t="n">
        <v>0</v>
      </c>
      <c r="E2450" t="s">
        <v>2459</v>
      </c>
      <c r="F2450" t="s"/>
      <c r="G2450" t="s"/>
      <c r="H2450" t="s"/>
      <c r="I2450" t="s"/>
      <c r="J2450" t="n">
        <v>0.4184</v>
      </c>
      <c r="K2450" t="n">
        <v>0.048</v>
      </c>
      <c r="L2450" t="n">
        <v>0.834</v>
      </c>
      <c r="M2450" t="n">
        <v>0.118</v>
      </c>
    </row>
    <row r="2451" spans="1:13">
      <c r="A2451" s="1">
        <f>HYPERLINK("http://www.twitter.com/NathanBLawrence/status/922153617041317890", "922153617041317890")</f>
        <v/>
      </c>
      <c r="B2451" s="2" t="n">
        <v>43030.73065972222</v>
      </c>
      <c r="C2451" t="n">
        <v>0</v>
      </c>
      <c r="D2451" t="n">
        <v>7082</v>
      </c>
      <c r="E2451" t="s">
        <v>2460</v>
      </c>
      <c r="F2451" t="s"/>
      <c r="G2451" t="s"/>
      <c r="H2451" t="s"/>
      <c r="I2451" t="s"/>
      <c r="J2451" t="n">
        <v>-0.6597</v>
      </c>
      <c r="K2451" t="n">
        <v>0.221</v>
      </c>
      <c r="L2451" t="n">
        <v>0.779</v>
      </c>
      <c r="M2451" t="n">
        <v>0</v>
      </c>
    </row>
    <row r="2452" spans="1:13">
      <c r="A2452" s="1">
        <f>HYPERLINK("http://www.twitter.com/NathanBLawrence/status/921581610708987904", "921581610708987904")</f>
        <v/>
      </c>
      <c r="B2452" s="2" t="n">
        <v>43029.15222222222</v>
      </c>
      <c r="C2452" t="n">
        <v>1</v>
      </c>
      <c r="D2452" t="n">
        <v>0</v>
      </c>
      <c r="E2452" t="s">
        <v>2461</v>
      </c>
      <c r="F2452" t="s"/>
      <c r="G2452" t="s"/>
      <c r="H2452" t="s"/>
      <c r="I2452" t="s"/>
      <c r="J2452" t="n">
        <v>0.0258</v>
      </c>
      <c r="K2452" t="n">
        <v>0.294</v>
      </c>
      <c r="L2452" t="n">
        <v>0.406</v>
      </c>
      <c r="M2452" t="n">
        <v>0.299</v>
      </c>
    </row>
    <row r="2453" spans="1:13">
      <c r="A2453" s="1">
        <f>HYPERLINK("http://www.twitter.com/NathanBLawrence/status/921390621176270848", "921390621176270848")</f>
        <v/>
      </c>
      <c r="B2453" s="2" t="n">
        <v>43028.62519675926</v>
      </c>
      <c r="C2453" t="n">
        <v>0</v>
      </c>
      <c r="D2453" t="n">
        <v>8057</v>
      </c>
      <c r="E2453" t="s">
        <v>2462</v>
      </c>
      <c r="F2453" t="s"/>
      <c r="G2453" t="s"/>
      <c r="H2453" t="s"/>
      <c r="I2453" t="s"/>
      <c r="J2453" t="n">
        <v>-0.8439</v>
      </c>
      <c r="K2453" t="n">
        <v>0.335</v>
      </c>
      <c r="L2453" t="n">
        <v>0.665</v>
      </c>
      <c r="M2453" t="n">
        <v>0</v>
      </c>
    </row>
    <row r="2454" spans="1:13">
      <c r="A2454" s="1">
        <f>HYPERLINK("http://www.twitter.com/NathanBLawrence/status/921390311800229889", "921390311800229889")</f>
        <v/>
      </c>
      <c r="B2454" s="2" t="n">
        <v>43028.62434027778</v>
      </c>
      <c r="C2454" t="n">
        <v>0</v>
      </c>
      <c r="D2454" t="n">
        <v>0</v>
      </c>
      <c r="E2454" t="s">
        <v>2463</v>
      </c>
      <c r="F2454" t="s"/>
      <c r="G2454" t="s"/>
      <c r="H2454" t="s"/>
      <c r="I2454" t="s"/>
      <c r="J2454" t="n">
        <v>0.296</v>
      </c>
      <c r="K2454" t="n">
        <v>0</v>
      </c>
      <c r="L2454" t="n">
        <v>0.916</v>
      </c>
      <c r="M2454" t="n">
        <v>0.08400000000000001</v>
      </c>
    </row>
    <row r="2455" spans="1:13">
      <c r="A2455" s="1">
        <f>HYPERLINK("http://www.twitter.com/NathanBLawrence/status/921229803885273089", "921229803885273089")</f>
        <v/>
      </c>
      <c r="B2455" s="2" t="n">
        <v>43028.18142361111</v>
      </c>
      <c r="C2455" t="n">
        <v>7</v>
      </c>
      <c r="D2455" t="n">
        <v>0</v>
      </c>
      <c r="E2455" t="s">
        <v>2464</v>
      </c>
      <c r="F2455" t="s"/>
      <c r="G2455" t="s"/>
      <c r="H2455" t="s"/>
      <c r="I2455" t="s"/>
      <c r="J2455" t="n">
        <v>0</v>
      </c>
      <c r="K2455" t="n">
        <v>0</v>
      </c>
      <c r="L2455" t="n">
        <v>1</v>
      </c>
      <c r="M2455" t="n">
        <v>0</v>
      </c>
    </row>
    <row r="2456" spans="1:13">
      <c r="A2456" s="1">
        <f>HYPERLINK("http://www.twitter.com/NathanBLawrence/status/921228234670317568", "921228234670317568")</f>
        <v/>
      </c>
      <c r="B2456" s="2" t="n">
        <v>43028.17709490741</v>
      </c>
      <c r="C2456" t="n">
        <v>251</v>
      </c>
      <c r="D2456" t="n">
        <v>58</v>
      </c>
      <c r="E2456" t="s">
        <v>2465</v>
      </c>
      <c r="F2456" t="s"/>
      <c r="G2456" t="s"/>
      <c r="H2456" t="s"/>
      <c r="I2456" t="s"/>
      <c r="J2456" t="n">
        <v>0.3182</v>
      </c>
      <c r="K2456" t="n">
        <v>0</v>
      </c>
      <c r="L2456" t="n">
        <v>0.892</v>
      </c>
      <c r="M2456" t="n">
        <v>0.108</v>
      </c>
    </row>
    <row r="2457" spans="1:13">
      <c r="A2457" s="1">
        <f>HYPERLINK("http://www.twitter.com/NathanBLawrence/status/921206293276307456", "921206293276307456")</f>
        <v/>
      </c>
      <c r="B2457" s="2" t="n">
        <v>43028.11655092592</v>
      </c>
      <c r="C2457" t="n">
        <v>0</v>
      </c>
      <c r="D2457" t="n">
        <v>0</v>
      </c>
      <c r="E2457" t="s">
        <v>2466</v>
      </c>
      <c r="F2457" t="s"/>
      <c r="G2457" t="s"/>
      <c r="H2457" t="s"/>
      <c r="I2457" t="s"/>
      <c r="J2457" t="n">
        <v>0.3612</v>
      </c>
      <c r="K2457" t="n">
        <v>0.111</v>
      </c>
      <c r="L2457" t="n">
        <v>0.667</v>
      </c>
      <c r="M2457" t="n">
        <v>0.222</v>
      </c>
    </row>
    <row r="2458" spans="1:13">
      <c r="A2458" s="1">
        <f>HYPERLINK("http://www.twitter.com/NathanBLawrence/status/921203955098619904", "921203955098619904")</f>
        <v/>
      </c>
      <c r="B2458" s="2" t="n">
        <v>43028.11009259259</v>
      </c>
      <c r="C2458" t="n">
        <v>0</v>
      </c>
      <c r="D2458" t="n">
        <v>0</v>
      </c>
      <c r="E2458" t="s">
        <v>2467</v>
      </c>
      <c r="F2458" t="s"/>
      <c r="G2458" t="s"/>
      <c r="H2458" t="s"/>
      <c r="I2458" t="s"/>
      <c r="J2458" t="n">
        <v>0</v>
      </c>
      <c r="K2458" t="n">
        <v>0</v>
      </c>
      <c r="L2458" t="n">
        <v>1</v>
      </c>
      <c r="M2458" t="n">
        <v>0</v>
      </c>
    </row>
    <row r="2459" spans="1:13">
      <c r="A2459" s="1">
        <f>HYPERLINK("http://www.twitter.com/NathanBLawrence/status/921168242307158017", "921168242307158017")</f>
        <v/>
      </c>
      <c r="B2459" s="2" t="n">
        <v>43028.01155092593</v>
      </c>
      <c r="C2459" t="n">
        <v>1</v>
      </c>
      <c r="D2459" t="n">
        <v>0</v>
      </c>
      <c r="E2459" t="s">
        <v>2468</v>
      </c>
      <c r="F2459" t="s"/>
      <c r="G2459" t="s"/>
      <c r="H2459" t="s"/>
      <c r="I2459" t="s"/>
      <c r="J2459" t="n">
        <v>-0.296</v>
      </c>
      <c r="K2459" t="n">
        <v>0.306</v>
      </c>
      <c r="L2459" t="n">
        <v>0.694</v>
      </c>
      <c r="M2459" t="n">
        <v>0</v>
      </c>
    </row>
    <row r="2460" spans="1:13">
      <c r="A2460" s="1">
        <f>HYPERLINK("http://www.twitter.com/NathanBLawrence/status/921144981242466304", "921144981242466304")</f>
        <v/>
      </c>
      <c r="B2460" s="2" t="n">
        <v>43027.94736111111</v>
      </c>
      <c r="C2460" t="n">
        <v>0</v>
      </c>
      <c r="D2460" t="n">
        <v>0</v>
      </c>
      <c r="E2460" t="s">
        <v>2469</v>
      </c>
      <c r="F2460" t="s"/>
      <c r="G2460" t="s"/>
      <c r="H2460" t="s"/>
      <c r="I2460" t="s"/>
      <c r="J2460" t="n">
        <v>0.8536</v>
      </c>
      <c r="K2460" t="n">
        <v>0.08</v>
      </c>
      <c r="L2460" t="n">
        <v>0.463</v>
      </c>
      <c r="M2460" t="n">
        <v>0.457</v>
      </c>
    </row>
    <row r="2461" spans="1:13">
      <c r="A2461" s="1">
        <f>HYPERLINK("http://www.twitter.com/NathanBLawrence/status/921144683119726592", "921144683119726592")</f>
        <v/>
      </c>
      <c r="B2461" s="2" t="n">
        <v>43027.94653935185</v>
      </c>
      <c r="C2461" t="n">
        <v>6</v>
      </c>
      <c r="D2461" t="n">
        <v>2</v>
      </c>
      <c r="E2461" t="s">
        <v>2470</v>
      </c>
      <c r="F2461" t="s"/>
      <c r="G2461" t="s"/>
      <c r="H2461" t="s"/>
      <c r="I2461" t="s"/>
      <c r="J2461" t="n">
        <v>-0.6808</v>
      </c>
      <c r="K2461" t="n">
        <v>0.335</v>
      </c>
      <c r="L2461" t="n">
        <v>0.551</v>
      </c>
      <c r="M2461" t="n">
        <v>0.114</v>
      </c>
    </row>
    <row r="2462" spans="1:13">
      <c r="A2462" s="1">
        <f>HYPERLINK("http://www.twitter.com/NathanBLawrence/status/921143108108251137", "921143108108251137")</f>
        <v/>
      </c>
      <c r="B2462" s="2" t="n">
        <v>43027.9421875</v>
      </c>
      <c r="C2462" t="n">
        <v>0</v>
      </c>
      <c r="D2462" t="n">
        <v>0</v>
      </c>
      <c r="E2462" t="s">
        <v>2471</v>
      </c>
      <c r="F2462" t="s"/>
      <c r="G2462" t="s"/>
      <c r="H2462" t="s"/>
      <c r="I2462" t="s"/>
      <c r="J2462" t="n">
        <v>0.4404</v>
      </c>
      <c r="K2462" t="n">
        <v>0</v>
      </c>
      <c r="L2462" t="n">
        <v>0.805</v>
      </c>
      <c r="M2462" t="n">
        <v>0.195</v>
      </c>
    </row>
    <row r="2463" spans="1:13">
      <c r="A2463" s="1">
        <f>HYPERLINK("http://www.twitter.com/NathanBLawrence/status/921054003731066880", "921054003731066880")</f>
        <v/>
      </c>
      <c r="B2463" s="2" t="n">
        <v>43027.69630787037</v>
      </c>
      <c r="C2463" t="n">
        <v>2</v>
      </c>
      <c r="D2463" t="n">
        <v>1</v>
      </c>
      <c r="E2463" t="s">
        <v>2472</v>
      </c>
      <c r="F2463" t="s"/>
      <c r="G2463" t="s"/>
      <c r="H2463" t="s"/>
      <c r="I2463" t="s"/>
      <c r="J2463" t="n">
        <v>-0.3182</v>
      </c>
      <c r="K2463" t="n">
        <v>0.247</v>
      </c>
      <c r="L2463" t="n">
        <v>0.753</v>
      </c>
      <c r="M2463" t="n">
        <v>0</v>
      </c>
    </row>
    <row r="2464" spans="1:13">
      <c r="A2464" s="1">
        <f>HYPERLINK("http://www.twitter.com/NathanBLawrence/status/921052190487252992", "921052190487252992")</f>
        <v/>
      </c>
      <c r="B2464" s="2" t="n">
        <v>43027.69130787037</v>
      </c>
      <c r="C2464" t="n">
        <v>1</v>
      </c>
      <c r="D2464" t="n">
        <v>0</v>
      </c>
      <c r="E2464" t="s">
        <v>2473</v>
      </c>
      <c r="F2464" t="s"/>
      <c r="G2464" t="s"/>
      <c r="H2464" t="s"/>
      <c r="I2464" t="s"/>
      <c r="J2464" t="n">
        <v>0</v>
      </c>
      <c r="K2464" t="n">
        <v>0</v>
      </c>
      <c r="L2464" t="n">
        <v>1</v>
      </c>
      <c r="M2464" t="n">
        <v>0</v>
      </c>
    </row>
    <row r="2465" spans="1:13">
      <c r="A2465" s="1">
        <f>HYPERLINK("http://www.twitter.com/NathanBLawrence/status/921048853540941824", "921048853540941824")</f>
        <v/>
      </c>
      <c r="B2465" s="2" t="n">
        <v>43027.68209490741</v>
      </c>
      <c r="C2465" t="n">
        <v>0</v>
      </c>
      <c r="D2465" t="n">
        <v>406</v>
      </c>
      <c r="E2465" t="s">
        <v>2474</v>
      </c>
      <c r="F2465" t="s"/>
      <c r="G2465" t="s"/>
      <c r="H2465" t="s"/>
      <c r="I2465" t="s"/>
      <c r="J2465" t="n">
        <v>-0.0387</v>
      </c>
      <c r="K2465" t="n">
        <v>0.07099999999999999</v>
      </c>
      <c r="L2465" t="n">
        <v>0.929</v>
      </c>
      <c r="M2465" t="n">
        <v>0</v>
      </c>
    </row>
    <row r="2466" spans="1:13">
      <c r="A2466" s="1">
        <f>HYPERLINK("http://www.twitter.com/NathanBLawrence/status/920999434468708353", "920999434468708353")</f>
        <v/>
      </c>
      <c r="B2466" s="2" t="n">
        <v>43027.54572916667</v>
      </c>
      <c r="C2466" t="n">
        <v>0</v>
      </c>
      <c r="D2466" t="n">
        <v>1</v>
      </c>
      <c r="E2466" t="s">
        <v>2475</v>
      </c>
      <c r="F2466" t="s"/>
      <c r="G2466" t="s"/>
      <c r="H2466" t="s"/>
      <c r="I2466" t="s"/>
      <c r="J2466" t="n">
        <v>0</v>
      </c>
      <c r="K2466" t="n">
        <v>0</v>
      </c>
      <c r="L2466" t="n">
        <v>1</v>
      </c>
      <c r="M2466" t="n">
        <v>0</v>
      </c>
    </row>
    <row r="2467" spans="1:13">
      <c r="A2467" s="1">
        <f>HYPERLINK("http://www.twitter.com/NathanBLawrence/status/920997897461751808", "920997897461751808")</f>
        <v/>
      </c>
      <c r="B2467" s="2" t="n">
        <v>43027.54148148148</v>
      </c>
      <c r="C2467" t="n">
        <v>0</v>
      </c>
      <c r="D2467" t="n">
        <v>5</v>
      </c>
      <c r="E2467" t="s">
        <v>2476</v>
      </c>
      <c r="F2467" t="s"/>
      <c r="G2467" t="s"/>
      <c r="H2467" t="s"/>
      <c r="I2467" t="s"/>
      <c r="J2467" t="n">
        <v>-0.5859</v>
      </c>
      <c r="K2467" t="n">
        <v>0.167</v>
      </c>
      <c r="L2467" t="n">
        <v>0.833</v>
      </c>
      <c r="M2467" t="n">
        <v>0</v>
      </c>
    </row>
    <row r="2468" spans="1:13">
      <c r="A2468" s="1">
        <f>HYPERLINK("http://www.twitter.com/NathanBLawrence/status/920992404349603840", "920992404349603840")</f>
        <v/>
      </c>
      <c r="B2468" s="2" t="n">
        <v>43027.52633101852</v>
      </c>
      <c r="C2468" t="n">
        <v>405</v>
      </c>
      <c r="D2468" t="n">
        <v>116</v>
      </c>
      <c r="E2468" t="s">
        <v>2477</v>
      </c>
      <c r="F2468" t="s"/>
      <c r="G2468" t="s"/>
      <c r="H2468" t="s"/>
      <c r="I2468" t="s"/>
      <c r="J2468" t="n">
        <v>0</v>
      </c>
      <c r="K2468" t="n">
        <v>0</v>
      </c>
      <c r="L2468" t="n">
        <v>1</v>
      </c>
      <c r="M2468" t="n">
        <v>0</v>
      </c>
    </row>
    <row r="2469" spans="1:13">
      <c r="A2469" s="1">
        <f>HYPERLINK("http://www.twitter.com/NathanBLawrence/status/920990421316186112", "920990421316186112")</f>
        <v/>
      </c>
      <c r="B2469" s="2" t="n">
        <v>43027.52085648148</v>
      </c>
      <c r="C2469" t="n">
        <v>0</v>
      </c>
      <c r="D2469" t="n">
        <v>7688</v>
      </c>
      <c r="E2469" t="s">
        <v>2478</v>
      </c>
      <c r="F2469" t="s"/>
      <c r="G2469" t="s"/>
      <c r="H2469" t="s"/>
      <c r="I2469" t="s"/>
      <c r="J2469" t="n">
        <v>0</v>
      </c>
      <c r="K2469" t="n">
        <v>0</v>
      </c>
      <c r="L2469" t="n">
        <v>1</v>
      </c>
      <c r="M2469" t="n">
        <v>0</v>
      </c>
    </row>
    <row r="2470" spans="1:13">
      <c r="A2470" s="1">
        <f>HYPERLINK("http://www.twitter.com/NathanBLawrence/status/920815340799643648", "920815340799643648")</f>
        <v/>
      </c>
      <c r="B2470" s="2" t="n">
        <v>43027.03771990741</v>
      </c>
      <c r="C2470" t="n">
        <v>0</v>
      </c>
      <c r="D2470" t="n">
        <v>0</v>
      </c>
      <c r="E2470" t="s">
        <v>2479</v>
      </c>
      <c r="F2470" t="s"/>
      <c r="G2470" t="s"/>
      <c r="H2470" t="s"/>
      <c r="I2470" t="s"/>
      <c r="J2470" t="n">
        <v>-0.6124000000000001</v>
      </c>
      <c r="K2470" t="n">
        <v>0.286</v>
      </c>
      <c r="L2470" t="n">
        <v>0.714</v>
      </c>
      <c r="M2470" t="n">
        <v>0</v>
      </c>
    </row>
    <row r="2471" spans="1:13">
      <c r="A2471" s="1">
        <f>HYPERLINK("http://www.twitter.com/NathanBLawrence/status/920797235205390337", "920797235205390337")</f>
        <v/>
      </c>
      <c r="B2471" s="2" t="n">
        <v>43026.9877662037</v>
      </c>
      <c r="C2471" t="n">
        <v>0</v>
      </c>
      <c r="D2471" t="n">
        <v>0</v>
      </c>
      <c r="E2471" t="s">
        <v>2480</v>
      </c>
      <c r="F2471" t="s"/>
      <c r="G2471" t="s"/>
      <c r="H2471" t="s"/>
      <c r="I2471" t="s"/>
      <c r="J2471" t="n">
        <v>0</v>
      </c>
      <c r="K2471" t="n">
        <v>0</v>
      </c>
      <c r="L2471" t="n">
        <v>1</v>
      </c>
      <c r="M2471" t="n">
        <v>0</v>
      </c>
    </row>
    <row r="2472" spans="1:13">
      <c r="A2472" s="1">
        <f>HYPERLINK("http://www.twitter.com/NathanBLawrence/status/920796902198620160", "920796902198620160")</f>
        <v/>
      </c>
      <c r="B2472" s="2" t="n">
        <v>43026.98684027778</v>
      </c>
      <c r="C2472" t="n">
        <v>0</v>
      </c>
      <c r="D2472" t="n">
        <v>0</v>
      </c>
      <c r="E2472" t="s">
        <v>2481</v>
      </c>
      <c r="F2472" t="s"/>
      <c r="G2472" t="s"/>
      <c r="H2472" t="s"/>
      <c r="I2472" t="s"/>
      <c r="J2472" t="n">
        <v>0</v>
      </c>
      <c r="K2472" t="n">
        <v>0</v>
      </c>
      <c r="L2472" t="n">
        <v>1</v>
      </c>
      <c r="M2472" t="n">
        <v>0</v>
      </c>
    </row>
    <row r="2473" spans="1:13">
      <c r="A2473" s="1">
        <f>HYPERLINK("http://www.twitter.com/NathanBLawrence/status/920795765286436864", "920795765286436864")</f>
        <v/>
      </c>
      <c r="B2473" s="2" t="n">
        <v>43026.98370370371</v>
      </c>
      <c r="C2473" t="n">
        <v>0</v>
      </c>
      <c r="D2473" t="n">
        <v>0</v>
      </c>
      <c r="E2473" t="s">
        <v>2482</v>
      </c>
      <c r="F2473" t="s"/>
      <c r="G2473" t="s"/>
      <c r="H2473" t="s"/>
      <c r="I2473" t="s"/>
      <c r="J2473" t="n">
        <v>0</v>
      </c>
      <c r="K2473" t="n">
        <v>0</v>
      </c>
      <c r="L2473" t="n">
        <v>1</v>
      </c>
      <c r="M2473" t="n">
        <v>0</v>
      </c>
    </row>
    <row r="2474" spans="1:13">
      <c r="A2474" s="1">
        <f>HYPERLINK("http://www.twitter.com/NathanBLawrence/status/920713661496340480", "920713661496340480")</f>
        <v/>
      </c>
      <c r="B2474" s="2" t="n">
        <v>43026.75714120371</v>
      </c>
      <c r="C2474" t="n">
        <v>0</v>
      </c>
      <c r="D2474" t="n">
        <v>0</v>
      </c>
      <c r="E2474" t="s">
        <v>2483</v>
      </c>
      <c r="F2474" t="s"/>
      <c r="G2474" t="s"/>
      <c r="H2474" t="s"/>
      <c r="I2474" t="s"/>
      <c r="J2474" t="n">
        <v>-0.1531</v>
      </c>
      <c r="K2474" t="n">
        <v>0.211</v>
      </c>
      <c r="L2474" t="n">
        <v>0.789</v>
      </c>
      <c r="M2474" t="n">
        <v>0</v>
      </c>
    </row>
    <row r="2475" spans="1:13">
      <c r="A2475" s="1">
        <f>HYPERLINK("http://www.twitter.com/NathanBLawrence/status/920693865509785601", "920693865509785601")</f>
        <v/>
      </c>
      <c r="B2475" s="2" t="n">
        <v>43026.70251157408</v>
      </c>
      <c r="C2475" t="n">
        <v>0</v>
      </c>
      <c r="D2475" t="n">
        <v>3961</v>
      </c>
      <c r="E2475" t="s">
        <v>2484</v>
      </c>
      <c r="F2475" t="s"/>
      <c r="G2475" t="s"/>
      <c r="H2475" t="s"/>
      <c r="I2475" t="s"/>
      <c r="J2475" t="n">
        <v>-0.3786</v>
      </c>
      <c r="K2475" t="n">
        <v>0.2</v>
      </c>
      <c r="L2475" t="n">
        <v>0.694</v>
      </c>
      <c r="M2475" t="n">
        <v>0.106</v>
      </c>
    </row>
    <row r="2476" spans="1:13">
      <c r="A2476" s="1">
        <f>HYPERLINK("http://www.twitter.com/NathanBLawrence/status/920110382672416768", "920110382672416768")</f>
        <v/>
      </c>
      <c r="B2476" s="2" t="n">
        <v>43025.09240740741</v>
      </c>
      <c r="C2476" t="n">
        <v>0</v>
      </c>
      <c r="D2476" t="n">
        <v>8568</v>
      </c>
      <c r="E2476" t="s">
        <v>2485</v>
      </c>
      <c r="F2476" t="s"/>
      <c r="G2476" t="s"/>
      <c r="H2476" t="s"/>
      <c r="I2476" t="s"/>
      <c r="J2476" t="n">
        <v>0</v>
      </c>
      <c r="K2476" t="n">
        <v>0</v>
      </c>
      <c r="L2476" t="n">
        <v>1</v>
      </c>
      <c r="M2476" t="n">
        <v>0</v>
      </c>
    </row>
    <row r="2477" spans="1:13">
      <c r="A2477" s="1">
        <f>HYPERLINK("http://www.twitter.com/NathanBLawrence/status/920108694788034561", "920108694788034561")</f>
        <v/>
      </c>
      <c r="B2477" s="2" t="n">
        <v>43025.08775462963</v>
      </c>
      <c r="C2477" t="n">
        <v>1</v>
      </c>
      <c r="D2477" t="n">
        <v>0</v>
      </c>
      <c r="E2477" t="s">
        <v>2486</v>
      </c>
      <c r="F2477" t="s"/>
      <c r="G2477" t="s"/>
      <c r="H2477" t="s"/>
      <c r="I2477" t="s"/>
      <c r="J2477" t="n">
        <v>0</v>
      </c>
      <c r="K2477" t="n">
        <v>0</v>
      </c>
      <c r="L2477" t="n">
        <v>1</v>
      </c>
      <c r="M2477" t="n">
        <v>0</v>
      </c>
    </row>
    <row r="2478" spans="1:13">
      <c r="A2478" s="1">
        <f>HYPERLINK("http://www.twitter.com/NathanBLawrence/status/920012304724516864", "920012304724516864")</f>
        <v/>
      </c>
      <c r="B2478" s="2" t="n">
        <v>43024.82177083333</v>
      </c>
      <c r="C2478" t="n">
        <v>4</v>
      </c>
      <c r="D2478" t="n">
        <v>1</v>
      </c>
      <c r="E2478" t="s">
        <v>2487</v>
      </c>
      <c r="F2478" t="s"/>
      <c r="G2478" t="s"/>
      <c r="H2478" t="s"/>
      <c r="I2478" t="s"/>
      <c r="J2478" t="n">
        <v>0.34</v>
      </c>
      <c r="K2478" t="n">
        <v>0</v>
      </c>
      <c r="L2478" t="n">
        <v>0.87</v>
      </c>
      <c r="M2478" t="n">
        <v>0.13</v>
      </c>
    </row>
    <row r="2479" spans="1:13">
      <c r="A2479" s="1">
        <f>HYPERLINK("http://www.twitter.com/NathanBLawrence/status/919965382001201152", "919965382001201152")</f>
        <v/>
      </c>
      <c r="B2479" s="2" t="n">
        <v>43024.69228009259</v>
      </c>
      <c r="C2479" t="n">
        <v>0</v>
      </c>
      <c r="D2479" t="n">
        <v>0</v>
      </c>
      <c r="E2479" t="s">
        <v>2488</v>
      </c>
      <c r="F2479" t="s"/>
      <c r="G2479" t="s"/>
      <c r="H2479" t="s"/>
      <c r="I2479" t="s"/>
      <c r="J2479" t="n">
        <v>0</v>
      </c>
      <c r="K2479" t="n">
        <v>0</v>
      </c>
      <c r="L2479" t="n">
        <v>1</v>
      </c>
      <c r="M2479" t="n">
        <v>0</v>
      </c>
    </row>
    <row r="2480" spans="1:13">
      <c r="A2480" s="1">
        <f>HYPERLINK("http://www.twitter.com/NathanBLawrence/status/919964638997024768", "919964638997024768")</f>
        <v/>
      </c>
      <c r="B2480" s="2" t="n">
        <v>43024.69023148148</v>
      </c>
      <c r="C2480" t="n">
        <v>0</v>
      </c>
      <c r="D2480" t="n">
        <v>469</v>
      </c>
      <c r="E2480" t="s">
        <v>2489</v>
      </c>
      <c r="F2480" t="s"/>
      <c r="G2480" t="s"/>
      <c r="H2480" t="s"/>
      <c r="I2480" t="s"/>
      <c r="J2480" t="n">
        <v>-0.2732</v>
      </c>
      <c r="K2480" t="n">
        <v>0.095</v>
      </c>
      <c r="L2480" t="n">
        <v>0.905</v>
      </c>
      <c r="M2480" t="n">
        <v>0</v>
      </c>
    </row>
    <row r="2481" spans="1:13">
      <c r="A2481" s="1">
        <f>HYPERLINK("http://www.twitter.com/NathanBLawrence/status/919595967187386368", "919595967187386368")</f>
        <v/>
      </c>
      <c r="B2481" s="2" t="n">
        <v>43023.67289351852</v>
      </c>
      <c r="C2481" t="n">
        <v>0</v>
      </c>
      <c r="D2481" t="n">
        <v>11974</v>
      </c>
      <c r="E2481" t="s">
        <v>2490</v>
      </c>
      <c r="F2481" t="s"/>
      <c r="G2481" t="s"/>
      <c r="H2481" t="s"/>
      <c r="I2481" t="s"/>
      <c r="J2481" t="n">
        <v>-0.4535</v>
      </c>
      <c r="K2481" t="n">
        <v>0.256</v>
      </c>
      <c r="L2481" t="n">
        <v>0.626</v>
      </c>
      <c r="M2481" t="n">
        <v>0.118</v>
      </c>
    </row>
    <row r="2482" spans="1:13">
      <c r="A2482" s="1">
        <f>HYPERLINK("http://www.twitter.com/NathanBLawrence/status/919214798239404033", "919214798239404033")</f>
        <v/>
      </c>
      <c r="B2482" s="2" t="n">
        <v>43022.62106481481</v>
      </c>
      <c r="C2482" t="n">
        <v>1</v>
      </c>
      <c r="D2482" t="n">
        <v>0</v>
      </c>
      <c r="E2482" t="s">
        <v>2491</v>
      </c>
      <c r="F2482" t="s"/>
      <c r="G2482" t="s"/>
      <c r="H2482" t="s"/>
      <c r="I2482" t="s"/>
      <c r="J2482" t="n">
        <v>0</v>
      </c>
      <c r="K2482" t="n">
        <v>0</v>
      </c>
      <c r="L2482" t="n">
        <v>1</v>
      </c>
      <c r="M2482" t="n">
        <v>0</v>
      </c>
    </row>
    <row r="2483" spans="1:13">
      <c r="A2483" s="1">
        <f>HYPERLINK("http://www.twitter.com/NathanBLawrence/status/919200820910002181", "919200820910002181")</f>
        <v/>
      </c>
      <c r="B2483" s="2" t="n">
        <v>43022.5825</v>
      </c>
      <c r="C2483" t="n">
        <v>0</v>
      </c>
      <c r="D2483" t="n">
        <v>0</v>
      </c>
      <c r="E2483" t="s">
        <v>2492</v>
      </c>
      <c r="F2483" t="s"/>
      <c r="G2483" t="s"/>
      <c r="H2483" t="s"/>
      <c r="I2483" t="s"/>
      <c r="J2483" t="n">
        <v>0.743</v>
      </c>
      <c r="K2483" t="n">
        <v>0</v>
      </c>
      <c r="L2483" t="n">
        <v>0.388</v>
      </c>
      <c r="M2483" t="n">
        <v>0.612</v>
      </c>
    </row>
    <row r="2484" spans="1:13">
      <c r="A2484" s="1">
        <f>HYPERLINK("http://www.twitter.com/NathanBLawrence/status/918938482000658432", "918938482000658432")</f>
        <v/>
      </c>
      <c r="B2484" s="2" t="n">
        <v>43021.85857638889</v>
      </c>
      <c r="C2484" t="n">
        <v>0</v>
      </c>
      <c r="D2484" t="n">
        <v>56</v>
      </c>
      <c r="E2484" t="s">
        <v>2493</v>
      </c>
      <c r="F2484">
        <f>HYPERLINK("http://pbs.twimg.com/media/DMC46NQX4AUAa7F.jpg", "http://pbs.twimg.com/media/DMC46NQX4AUAa7F.jpg")</f>
        <v/>
      </c>
      <c r="G2484" t="s"/>
      <c r="H2484" t="s"/>
      <c r="I2484" t="s"/>
      <c r="J2484" t="n">
        <v>0</v>
      </c>
      <c r="K2484" t="n">
        <v>0</v>
      </c>
      <c r="L2484" t="n">
        <v>1</v>
      </c>
      <c r="M2484" t="n">
        <v>0</v>
      </c>
    </row>
    <row r="2485" spans="1:13">
      <c r="A2485" s="1">
        <f>HYPERLINK("http://www.twitter.com/NathanBLawrence/status/918938416884211713", "918938416884211713")</f>
        <v/>
      </c>
      <c r="B2485" s="2" t="n">
        <v>43021.85840277778</v>
      </c>
      <c r="C2485" t="n">
        <v>0</v>
      </c>
      <c r="D2485" t="n">
        <v>0</v>
      </c>
      <c r="E2485" t="s">
        <v>2494</v>
      </c>
      <c r="F2485" t="s"/>
      <c r="G2485" t="s"/>
      <c r="H2485" t="s"/>
      <c r="I2485" t="s"/>
      <c r="J2485" t="n">
        <v>0.1027</v>
      </c>
      <c r="K2485" t="n">
        <v>0.169</v>
      </c>
      <c r="L2485" t="n">
        <v>0.581</v>
      </c>
      <c r="M2485" t="n">
        <v>0.25</v>
      </c>
    </row>
    <row r="2486" spans="1:13">
      <c r="A2486" s="1">
        <f>HYPERLINK("http://www.twitter.com/NathanBLawrence/status/918936777729232896", "918936777729232896")</f>
        <v/>
      </c>
      <c r="B2486" s="2" t="n">
        <v>43021.85387731482</v>
      </c>
      <c r="C2486" t="n">
        <v>0</v>
      </c>
      <c r="D2486" t="n">
        <v>0</v>
      </c>
      <c r="E2486" t="s">
        <v>2495</v>
      </c>
      <c r="F2486" t="s"/>
      <c r="G2486" t="s"/>
      <c r="H2486" t="s"/>
      <c r="I2486" t="s"/>
      <c r="J2486" t="n">
        <v>0.4404</v>
      </c>
      <c r="K2486" t="n">
        <v>0</v>
      </c>
      <c r="L2486" t="n">
        <v>0.58</v>
      </c>
      <c r="M2486" t="n">
        <v>0.42</v>
      </c>
    </row>
    <row r="2487" spans="1:13">
      <c r="A2487" s="1">
        <f>HYPERLINK("http://www.twitter.com/NathanBLawrence/status/918922908445048837", "918922908445048837")</f>
        <v/>
      </c>
      <c r="B2487" s="2" t="n">
        <v>43021.81560185185</v>
      </c>
      <c r="C2487" t="n">
        <v>0</v>
      </c>
      <c r="D2487" t="n">
        <v>0</v>
      </c>
      <c r="E2487" t="s">
        <v>2496</v>
      </c>
      <c r="F2487" t="s"/>
      <c r="G2487" t="s"/>
      <c r="H2487" t="s"/>
      <c r="I2487" t="s"/>
      <c r="J2487" t="n">
        <v>0</v>
      </c>
      <c r="K2487" t="n">
        <v>0</v>
      </c>
      <c r="L2487" t="n">
        <v>1</v>
      </c>
      <c r="M2487" t="n">
        <v>0</v>
      </c>
    </row>
    <row r="2488" spans="1:13">
      <c r="A2488" s="1">
        <f>HYPERLINK("http://www.twitter.com/NathanBLawrence/status/918894188560896000", "918894188560896000")</f>
        <v/>
      </c>
      <c r="B2488" s="2" t="n">
        <v>43021.73635416666</v>
      </c>
      <c r="C2488" t="n">
        <v>0</v>
      </c>
      <c r="D2488" t="n">
        <v>0</v>
      </c>
      <c r="E2488" t="s">
        <v>2497</v>
      </c>
      <c r="F2488" t="s"/>
      <c r="G2488" t="s"/>
      <c r="H2488" t="s"/>
      <c r="I2488" t="s"/>
      <c r="J2488" t="n">
        <v>0.7163</v>
      </c>
      <c r="K2488" t="n">
        <v>0</v>
      </c>
      <c r="L2488" t="n">
        <v>0.547</v>
      </c>
      <c r="M2488" t="n">
        <v>0.453</v>
      </c>
    </row>
    <row r="2489" spans="1:13">
      <c r="A2489" s="1">
        <f>HYPERLINK("http://www.twitter.com/NathanBLawrence/status/918878094487949313", "918878094487949313")</f>
        <v/>
      </c>
      <c r="B2489" s="2" t="n">
        <v>43021.69194444444</v>
      </c>
      <c r="C2489" t="n">
        <v>0</v>
      </c>
      <c r="D2489" t="n">
        <v>0</v>
      </c>
      <c r="E2489" t="s">
        <v>2498</v>
      </c>
      <c r="F2489" t="s"/>
      <c r="G2489" t="s"/>
      <c r="H2489" t="s"/>
      <c r="I2489" t="s"/>
      <c r="J2489" t="n">
        <v>0.3612</v>
      </c>
      <c r="K2489" t="n">
        <v>0</v>
      </c>
      <c r="L2489" t="n">
        <v>0.8</v>
      </c>
      <c r="M2489" t="n">
        <v>0.2</v>
      </c>
    </row>
    <row r="2490" spans="1:13">
      <c r="A2490" s="1">
        <f>HYPERLINK("http://www.twitter.com/NathanBLawrence/status/918844285491040256", "918844285491040256")</f>
        <v/>
      </c>
      <c r="B2490" s="2" t="n">
        <v>43021.59864583334</v>
      </c>
      <c r="C2490" t="n">
        <v>0</v>
      </c>
      <c r="D2490" t="n">
        <v>0</v>
      </c>
      <c r="E2490" t="s">
        <v>2499</v>
      </c>
      <c r="F2490" t="s"/>
      <c r="G2490" t="s"/>
      <c r="H2490" t="s"/>
      <c r="I2490" t="s"/>
      <c r="J2490" t="n">
        <v>0</v>
      </c>
      <c r="K2490" t="n">
        <v>0</v>
      </c>
      <c r="L2490" t="n">
        <v>1</v>
      </c>
      <c r="M2490" t="n">
        <v>0</v>
      </c>
    </row>
    <row r="2491" spans="1:13">
      <c r="A2491" s="1">
        <f>HYPERLINK("http://www.twitter.com/NathanBLawrence/status/918838341906370561", "918838341906370561")</f>
        <v/>
      </c>
      <c r="B2491" s="2" t="n">
        <v>43021.58224537037</v>
      </c>
      <c r="C2491" t="n">
        <v>0</v>
      </c>
      <c r="D2491" t="n">
        <v>5719</v>
      </c>
      <c r="E2491" t="s">
        <v>2500</v>
      </c>
      <c r="F2491" t="s"/>
      <c r="G2491" t="s"/>
      <c r="H2491" t="s"/>
      <c r="I2491" t="s"/>
      <c r="J2491" t="n">
        <v>0.5859</v>
      </c>
      <c r="K2491" t="n">
        <v>0</v>
      </c>
      <c r="L2491" t="n">
        <v>0.758</v>
      </c>
      <c r="M2491" t="n">
        <v>0.242</v>
      </c>
    </row>
    <row r="2492" spans="1:13">
      <c r="A2492" s="1">
        <f>HYPERLINK("http://www.twitter.com/NathanBLawrence/status/918783908887564288", "918783908887564288")</f>
        <v/>
      </c>
      <c r="B2492" s="2" t="n">
        <v>43021.43203703704</v>
      </c>
      <c r="C2492" t="n">
        <v>1</v>
      </c>
      <c r="D2492" t="n">
        <v>0</v>
      </c>
      <c r="E2492" t="s">
        <v>2501</v>
      </c>
      <c r="F2492" t="s"/>
      <c r="G2492" t="s"/>
      <c r="H2492" t="s"/>
      <c r="I2492" t="s"/>
      <c r="J2492" t="n">
        <v>0.7628</v>
      </c>
      <c r="K2492" t="n">
        <v>0</v>
      </c>
      <c r="L2492" t="n">
        <v>0.626</v>
      </c>
      <c r="M2492" t="n">
        <v>0.374</v>
      </c>
    </row>
    <row r="2493" spans="1:13">
      <c r="A2493" s="1">
        <f>HYPERLINK("http://www.twitter.com/NathanBLawrence/status/918780298178985984", "918780298178985984")</f>
        <v/>
      </c>
      <c r="B2493" s="2" t="n">
        <v>43021.42207175926</v>
      </c>
      <c r="C2493" t="n">
        <v>0</v>
      </c>
      <c r="D2493" t="n">
        <v>0</v>
      </c>
      <c r="E2493" t="s">
        <v>2502</v>
      </c>
      <c r="F2493" t="s"/>
      <c r="G2493" t="s"/>
      <c r="H2493" t="s"/>
      <c r="I2493" t="s"/>
      <c r="J2493" t="n">
        <v>0</v>
      </c>
      <c r="K2493" t="n">
        <v>0</v>
      </c>
      <c r="L2493" t="n">
        <v>1</v>
      </c>
      <c r="M2493" t="n">
        <v>0</v>
      </c>
    </row>
    <row r="2494" spans="1:13">
      <c r="A2494" s="1">
        <f>HYPERLINK("http://www.twitter.com/NathanBLawrence/status/918517845885177856", "918517845885177856")</f>
        <v/>
      </c>
      <c r="B2494" s="2" t="n">
        <v>43020.69784722223</v>
      </c>
      <c r="C2494" t="n">
        <v>2</v>
      </c>
      <c r="D2494" t="n">
        <v>0</v>
      </c>
      <c r="E2494" t="s">
        <v>2503</v>
      </c>
      <c r="F2494" t="s"/>
      <c r="G2494" t="s"/>
      <c r="H2494" t="s"/>
      <c r="I2494" t="s"/>
      <c r="J2494" t="n">
        <v>0</v>
      </c>
      <c r="K2494" t="n">
        <v>0</v>
      </c>
      <c r="L2494" t="n">
        <v>1</v>
      </c>
      <c r="M2494" t="n">
        <v>0</v>
      </c>
    </row>
    <row r="2495" spans="1:13">
      <c r="A2495" s="1">
        <f>HYPERLINK("http://www.twitter.com/NathanBLawrence/status/918166586191642632", "918166586191642632")</f>
        <v/>
      </c>
      <c r="B2495" s="2" t="n">
        <v>43019.72855324074</v>
      </c>
      <c r="C2495" t="n">
        <v>1</v>
      </c>
      <c r="D2495" t="n">
        <v>1</v>
      </c>
      <c r="E2495" t="s">
        <v>2504</v>
      </c>
      <c r="F2495" t="s"/>
      <c r="G2495" t="s"/>
      <c r="H2495" t="s"/>
      <c r="I2495" t="s"/>
      <c r="J2495" t="n">
        <v>0</v>
      </c>
      <c r="K2495" t="n">
        <v>0</v>
      </c>
      <c r="L2495" t="n">
        <v>1</v>
      </c>
      <c r="M2495" t="n">
        <v>0</v>
      </c>
    </row>
    <row r="2496" spans="1:13">
      <c r="A2496" s="1">
        <f>HYPERLINK("http://www.twitter.com/NathanBLawrence/status/917940570047287296", "917940570047287296")</f>
        <v/>
      </c>
      <c r="B2496" s="2" t="n">
        <v>43019.10487268519</v>
      </c>
      <c r="C2496" t="n">
        <v>0</v>
      </c>
      <c r="D2496" t="n">
        <v>0</v>
      </c>
      <c r="E2496" t="s">
        <v>2505</v>
      </c>
      <c r="F2496" t="s"/>
      <c r="G2496" t="s"/>
      <c r="H2496" t="s"/>
      <c r="I2496" t="s"/>
      <c r="J2496" t="n">
        <v>0.7499</v>
      </c>
      <c r="K2496" t="n">
        <v>0</v>
      </c>
      <c r="L2496" t="n">
        <v>0.638</v>
      </c>
      <c r="M2496" t="n">
        <v>0.362</v>
      </c>
    </row>
    <row r="2497" spans="1:13">
      <c r="A2497" s="1">
        <f>HYPERLINK("http://www.twitter.com/NathanBLawrence/status/917936954351558656", "917936954351558656")</f>
        <v/>
      </c>
      <c r="B2497" s="2" t="n">
        <v>43019.09489583333</v>
      </c>
      <c r="C2497" t="n">
        <v>0</v>
      </c>
      <c r="D2497" t="n">
        <v>1966</v>
      </c>
      <c r="E2497" t="s">
        <v>2506</v>
      </c>
      <c r="F2497" t="s"/>
      <c r="G2497" t="s"/>
      <c r="H2497" t="s"/>
      <c r="I2497" t="s"/>
      <c r="J2497" t="n">
        <v>0</v>
      </c>
      <c r="K2497" t="n">
        <v>0</v>
      </c>
      <c r="L2497" t="n">
        <v>1</v>
      </c>
      <c r="M2497" t="n">
        <v>0</v>
      </c>
    </row>
    <row r="2498" spans="1:13">
      <c r="A2498" s="1">
        <f>HYPERLINK("http://www.twitter.com/NathanBLawrence/status/917905029339676674", "917905029339676674")</f>
        <v/>
      </c>
      <c r="B2498" s="2" t="n">
        <v>43019.00679398148</v>
      </c>
      <c r="C2498" t="n">
        <v>2</v>
      </c>
      <c r="D2498" t="n">
        <v>0</v>
      </c>
      <c r="E2498" t="s">
        <v>2507</v>
      </c>
      <c r="F2498" t="s"/>
      <c r="G2498" t="s"/>
      <c r="H2498" t="s"/>
      <c r="I2498" t="s"/>
      <c r="J2498" t="n">
        <v>0</v>
      </c>
      <c r="K2498" t="n">
        <v>0</v>
      </c>
      <c r="L2498" t="n">
        <v>1</v>
      </c>
      <c r="M2498" t="n">
        <v>0</v>
      </c>
    </row>
    <row r="2499" spans="1:13">
      <c r="A2499" s="1">
        <f>HYPERLINK("http://www.twitter.com/NathanBLawrence/status/917892577533288448", "917892577533288448")</f>
        <v/>
      </c>
      <c r="B2499" s="2" t="n">
        <v>43018.97243055556</v>
      </c>
      <c r="C2499" t="n">
        <v>0</v>
      </c>
      <c r="D2499" t="n">
        <v>98</v>
      </c>
      <c r="E2499" t="s">
        <v>2508</v>
      </c>
      <c r="F2499" t="s"/>
      <c r="G2499" t="s"/>
      <c r="H2499" t="s"/>
      <c r="I2499" t="s"/>
      <c r="J2499" t="n">
        <v>0</v>
      </c>
      <c r="K2499" t="n">
        <v>0</v>
      </c>
      <c r="L2499" t="n">
        <v>1</v>
      </c>
      <c r="M2499" t="n">
        <v>0</v>
      </c>
    </row>
    <row r="2500" spans="1:13">
      <c r="A2500" s="1">
        <f>HYPERLINK("http://www.twitter.com/NathanBLawrence/status/917891609009803266", "917891609009803266")</f>
        <v/>
      </c>
      <c r="B2500" s="2" t="n">
        <v>43018.96975694445</v>
      </c>
      <c r="C2500" t="n">
        <v>0</v>
      </c>
      <c r="D2500" t="n">
        <v>0</v>
      </c>
      <c r="E2500" t="s">
        <v>2509</v>
      </c>
      <c r="F2500" t="s"/>
      <c r="G2500" t="s"/>
      <c r="H2500" t="s"/>
      <c r="I2500" t="s"/>
      <c r="J2500" t="n">
        <v>0</v>
      </c>
      <c r="K2500" t="n">
        <v>0</v>
      </c>
      <c r="L2500" t="n">
        <v>1</v>
      </c>
      <c r="M2500" t="n">
        <v>0</v>
      </c>
    </row>
    <row r="2501" spans="1:13">
      <c r="A2501" s="1">
        <f>HYPERLINK("http://www.twitter.com/NathanBLawrence/status/917833132660928512", "917833132660928512")</f>
        <v/>
      </c>
      <c r="B2501" s="2" t="n">
        <v>43018.8083912037</v>
      </c>
      <c r="C2501" t="n">
        <v>0</v>
      </c>
      <c r="D2501" t="n">
        <v>0</v>
      </c>
      <c r="E2501" t="s">
        <v>2510</v>
      </c>
      <c r="F2501" t="s"/>
      <c r="G2501" t="s"/>
      <c r="H2501" t="s"/>
      <c r="I2501" t="s"/>
      <c r="J2501" t="n">
        <v>0</v>
      </c>
      <c r="K2501" t="n">
        <v>0</v>
      </c>
      <c r="L2501" t="n">
        <v>1</v>
      </c>
      <c r="M2501" t="n">
        <v>0</v>
      </c>
    </row>
    <row r="2502" spans="1:13">
      <c r="A2502" s="1">
        <f>HYPERLINK("http://www.twitter.com/NathanBLawrence/status/917830272057475072", "917830272057475072")</f>
        <v/>
      </c>
      <c r="B2502" s="2" t="n">
        <v>43018.80049768519</v>
      </c>
      <c r="C2502" t="n">
        <v>0</v>
      </c>
      <c r="D2502" t="n">
        <v>0</v>
      </c>
      <c r="E2502" t="s">
        <v>2511</v>
      </c>
      <c r="F2502" t="s"/>
      <c r="G2502" t="s"/>
      <c r="H2502" t="s"/>
      <c r="I2502" t="s"/>
      <c r="J2502" t="n">
        <v>0</v>
      </c>
      <c r="K2502" t="n">
        <v>0</v>
      </c>
      <c r="L2502" t="n">
        <v>1</v>
      </c>
      <c r="M2502" t="n">
        <v>0</v>
      </c>
    </row>
    <row r="2503" spans="1:13">
      <c r="A2503" s="1">
        <f>HYPERLINK("http://www.twitter.com/NathanBLawrence/status/917829724940001280", "917829724940001280")</f>
        <v/>
      </c>
      <c r="B2503" s="2" t="n">
        <v>43018.79899305556</v>
      </c>
      <c r="C2503" t="n">
        <v>1</v>
      </c>
      <c r="D2503" t="n">
        <v>1</v>
      </c>
      <c r="E2503" t="s">
        <v>2512</v>
      </c>
      <c r="F2503" t="s"/>
      <c r="G2503" t="s"/>
      <c r="H2503" t="s"/>
      <c r="I2503" t="s"/>
      <c r="J2503" t="n">
        <v>0</v>
      </c>
      <c r="K2503" t="n">
        <v>0</v>
      </c>
      <c r="L2503" t="n">
        <v>1</v>
      </c>
      <c r="M2503" t="n">
        <v>0</v>
      </c>
    </row>
    <row r="2504" spans="1:13">
      <c r="A2504" s="1">
        <f>HYPERLINK("http://www.twitter.com/NathanBLawrence/status/917791049422131201", "917791049422131201")</f>
        <v/>
      </c>
      <c r="B2504" s="2" t="n">
        <v>43018.69226851852</v>
      </c>
      <c r="C2504" t="n">
        <v>1</v>
      </c>
      <c r="D2504" t="n">
        <v>0</v>
      </c>
      <c r="E2504" t="s">
        <v>2513</v>
      </c>
      <c r="F2504" t="s"/>
      <c r="G2504" t="s"/>
      <c r="H2504" t="s"/>
      <c r="I2504" t="s"/>
      <c r="J2504" t="n">
        <v>0</v>
      </c>
      <c r="K2504" t="n">
        <v>0</v>
      </c>
      <c r="L2504" t="n">
        <v>1</v>
      </c>
      <c r="M2504" t="n">
        <v>0</v>
      </c>
    </row>
    <row r="2505" spans="1:13">
      <c r="A2505" s="1">
        <f>HYPERLINK("http://www.twitter.com/NathanBLawrence/status/917767901226196994", "917767901226196994")</f>
        <v/>
      </c>
      <c r="B2505" s="2" t="n">
        <v>43018.6283912037</v>
      </c>
      <c r="C2505" t="n">
        <v>0</v>
      </c>
      <c r="D2505" t="n">
        <v>76</v>
      </c>
      <c r="E2505" t="s">
        <v>2514</v>
      </c>
      <c r="F2505">
        <f>HYPERLINK("http://pbs.twimg.com/media/DLyQyTqWAAAK8S2.jpg", "http://pbs.twimg.com/media/DLyQyTqWAAAK8S2.jpg")</f>
        <v/>
      </c>
      <c r="G2505" t="s"/>
      <c r="H2505" t="s"/>
      <c r="I2505" t="s"/>
      <c r="J2505" t="n">
        <v>-0.296</v>
      </c>
      <c r="K2505" t="n">
        <v>0.095</v>
      </c>
      <c r="L2505" t="n">
        <v>0.905</v>
      </c>
      <c r="M2505" t="n">
        <v>0</v>
      </c>
    </row>
    <row r="2506" spans="1:13">
      <c r="A2506" s="1">
        <f>HYPERLINK("http://www.twitter.com/NathanBLawrence/status/917736535776260097", "917736535776260097")</f>
        <v/>
      </c>
      <c r="B2506" s="2" t="n">
        <v>43018.54184027778</v>
      </c>
      <c r="C2506" t="n">
        <v>16</v>
      </c>
      <c r="D2506" t="n">
        <v>7</v>
      </c>
      <c r="E2506" t="s">
        <v>2515</v>
      </c>
      <c r="F2506" t="s"/>
      <c r="G2506" t="s"/>
      <c r="H2506" t="s"/>
      <c r="I2506" t="s"/>
      <c r="J2506" t="n">
        <v>0.3544</v>
      </c>
      <c r="K2506" t="n">
        <v>0</v>
      </c>
      <c r="L2506" t="n">
        <v>0.84</v>
      </c>
      <c r="M2506" t="n">
        <v>0.16</v>
      </c>
    </row>
    <row r="2507" spans="1:13">
      <c r="A2507" s="1">
        <f>HYPERLINK("http://www.twitter.com/NathanBLawrence/status/917426996573024256", "917426996573024256")</f>
        <v/>
      </c>
      <c r="B2507" s="2" t="n">
        <v>43017.68767361111</v>
      </c>
      <c r="C2507" t="n">
        <v>0</v>
      </c>
      <c r="D2507" t="n">
        <v>1</v>
      </c>
      <c r="E2507" t="s">
        <v>2516</v>
      </c>
      <c r="F2507" t="s"/>
      <c r="G2507" t="s"/>
      <c r="H2507" t="s"/>
      <c r="I2507" t="s"/>
      <c r="J2507" t="n">
        <v>0</v>
      </c>
      <c r="K2507" t="n">
        <v>0</v>
      </c>
      <c r="L2507" t="n">
        <v>1</v>
      </c>
      <c r="M2507" t="n">
        <v>0</v>
      </c>
    </row>
    <row r="2508" spans="1:13">
      <c r="A2508" s="1">
        <f>HYPERLINK("http://www.twitter.com/NathanBLawrence/status/917372013345411073", "917372013345411073")</f>
        <v/>
      </c>
      <c r="B2508" s="2" t="n">
        <v>43017.53594907407</v>
      </c>
      <c r="C2508" t="n">
        <v>0</v>
      </c>
      <c r="D2508" t="n">
        <v>0</v>
      </c>
      <c r="E2508" t="s">
        <v>2517</v>
      </c>
      <c r="F2508" t="s"/>
      <c r="G2508" t="s"/>
      <c r="H2508" t="s"/>
      <c r="I2508" t="s"/>
      <c r="J2508" t="n">
        <v>0.6784</v>
      </c>
      <c r="K2508" t="n">
        <v>0</v>
      </c>
      <c r="L2508" t="n">
        <v>0.396</v>
      </c>
      <c r="M2508" t="n">
        <v>0.604</v>
      </c>
    </row>
    <row r="2509" spans="1:13">
      <c r="A2509" s="1">
        <f>HYPERLINK("http://www.twitter.com/NathanBLawrence/status/917218552926625792", "917218552926625792")</f>
        <v/>
      </c>
      <c r="B2509" s="2" t="n">
        <v>43017.11247685185</v>
      </c>
      <c r="C2509" t="n">
        <v>0</v>
      </c>
      <c r="D2509" t="n">
        <v>11608</v>
      </c>
      <c r="E2509" t="s">
        <v>2518</v>
      </c>
      <c r="F2509" t="s"/>
      <c r="G2509" t="s"/>
      <c r="H2509" t="s"/>
      <c r="I2509" t="s"/>
      <c r="J2509" t="n">
        <v>-0.4588</v>
      </c>
      <c r="K2509" t="n">
        <v>0.125</v>
      </c>
      <c r="L2509" t="n">
        <v>0.875</v>
      </c>
      <c r="M2509" t="n">
        <v>0</v>
      </c>
    </row>
    <row r="2510" spans="1:13">
      <c r="A2510" s="1">
        <f>HYPERLINK("http://www.twitter.com/NathanBLawrence/status/916355220317310976", "916355220317310976")</f>
        <v/>
      </c>
      <c r="B2510" s="2" t="n">
        <v>43014.73013888889</v>
      </c>
      <c r="C2510" t="n">
        <v>0</v>
      </c>
      <c r="D2510" t="n">
        <v>0</v>
      </c>
      <c r="E2510" t="s">
        <v>2519</v>
      </c>
      <c r="F2510" t="s"/>
      <c r="G2510" t="s"/>
      <c r="H2510" t="s"/>
      <c r="I2510" t="s"/>
      <c r="J2510" t="n">
        <v>0</v>
      </c>
      <c r="K2510" t="n">
        <v>0</v>
      </c>
      <c r="L2510" t="n">
        <v>1</v>
      </c>
      <c r="M2510" t="n">
        <v>0</v>
      </c>
    </row>
    <row r="2511" spans="1:13">
      <c r="A2511" s="1">
        <f>HYPERLINK("http://www.twitter.com/NathanBLawrence/status/915405883814891521", "915405883814891521")</f>
        <v/>
      </c>
      <c r="B2511" s="2" t="n">
        <v>43012.11046296296</v>
      </c>
      <c r="C2511" t="n">
        <v>1</v>
      </c>
      <c r="D2511" t="n">
        <v>0</v>
      </c>
      <c r="E2511" t="s">
        <v>2520</v>
      </c>
      <c r="F2511" t="s"/>
      <c r="G2511" t="s"/>
      <c r="H2511" t="s"/>
      <c r="I2511" t="s"/>
      <c r="J2511" t="n">
        <v>-0.1779</v>
      </c>
      <c r="K2511" t="n">
        <v>0.194</v>
      </c>
      <c r="L2511" t="n">
        <v>0.6909999999999999</v>
      </c>
      <c r="M2511" t="n">
        <v>0.115</v>
      </c>
    </row>
    <row r="2512" spans="1:13">
      <c r="A2512" s="1">
        <f>HYPERLINK("http://www.twitter.com/NathanBLawrence/status/914545698372247554", "914545698372247554")</f>
        <v/>
      </c>
      <c r="B2512" s="2" t="n">
        <v>43009.73680555556</v>
      </c>
      <c r="C2512" t="n">
        <v>1</v>
      </c>
      <c r="D2512" t="n">
        <v>0</v>
      </c>
      <c r="E2512" t="s">
        <v>2521</v>
      </c>
      <c r="F2512" t="s"/>
      <c r="G2512" t="s"/>
      <c r="H2512" t="s"/>
      <c r="I2512" t="s"/>
      <c r="J2512" t="n">
        <v>0</v>
      </c>
      <c r="K2512" t="n">
        <v>0</v>
      </c>
      <c r="L2512" t="n">
        <v>1</v>
      </c>
      <c r="M2512" t="n">
        <v>0</v>
      </c>
    </row>
    <row r="2513" spans="1:13">
      <c r="A2513" s="1">
        <f>HYPERLINK("http://www.twitter.com/NathanBLawrence/status/914518980173451264", "914518980173451264")</f>
        <v/>
      </c>
      <c r="B2513" s="2" t="n">
        <v>43009.66307870371</v>
      </c>
      <c r="C2513" t="n">
        <v>0</v>
      </c>
      <c r="D2513" t="n">
        <v>0</v>
      </c>
      <c r="E2513" t="s">
        <v>2522</v>
      </c>
      <c r="F2513" t="s"/>
      <c r="G2513" t="s"/>
      <c r="H2513" t="s"/>
      <c r="I2513" t="s"/>
      <c r="J2513" t="n">
        <v>0.7034</v>
      </c>
      <c r="K2513" t="n">
        <v>0</v>
      </c>
      <c r="L2513" t="n">
        <v>0.651</v>
      </c>
      <c r="M2513" t="n">
        <v>0.349</v>
      </c>
    </row>
    <row r="2514" spans="1:13">
      <c r="A2514" s="1">
        <f>HYPERLINK("http://www.twitter.com/NathanBLawrence/status/914512236361678849", "914512236361678849")</f>
        <v/>
      </c>
      <c r="B2514" s="2" t="n">
        <v>43009.6444675926</v>
      </c>
      <c r="C2514" t="n">
        <v>11</v>
      </c>
      <c r="D2514" t="n">
        <v>7</v>
      </c>
      <c r="E2514" t="s">
        <v>2523</v>
      </c>
      <c r="F2514" t="s"/>
      <c r="G2514" t="s"/>
      <c r="H2514" t="s"/>
      <c r="I2514" t="s"/>
      <c r="J2514" t="n">
        <v>-0.8591</v>
      </c>
      <c r="K2514" t="n">
        <v>0.345</v>
      </c>
      <c r="L2514" t="n">
        <v>0.655</v>
      </c>
      <c r="M2514" t="n">
        <v>0</v>
      </c>
    </row>
    <row r="2515" spans="1:13">
      <c r="A2515" s="1">
        <f>HYPERLINK("http://www.twitter.com/NathanBLawrence/status/914510027410558976", "914510027410558976")</f>
        <v/>
      </c>
      <c r="B2515" s="2" t="n">
        <v>43009.63836805556</v>
      </c>
      <c r="C2515" t="n">
        <v>1</v>
      </c>
      <c r="D2515" t="n">
        <v>0</v>
      </c>
      <c r="E2515" t="s">
        <v>2524</v>
      </c>
      <c r="F2515" t="s"/>
      <c r="G2515" t="s"/>
      <c r="H2515" t="s"/>
      <c r="I2515" t="s"/>
      <c r="J2515" t="n">
        <v>-0.6486</v>
      </c>
      <c r="K2515" t="n">
        <v>0.223</v>
      </c>
      <c r="L2515" t="n">
        <v>0.777</v>
      </c>
      <c r="M2515" t="n">
        <v>0</v>
      </c>
    </row>
    <row r="2516" spans="1:13">
      <c r="A2516" s="1">
        <f>HYPERLINK("http://www.twitter.com/NathanBLawrence/status/914335886522888193", "914335886522888193")</f>
        <v/>
      </c>
      <c r="B2516" s="2" t="n">
        <v>43009.15783564815</v>
      </c>
      <c r="C2516" t="n">
        <v>1</v>
      </c>
      <c r="D2516" t="n">
        <v>0</v>
      </c>
      <c r="E2516" t="s">
        <v>2525</v>
      </c>
      <c r="F2516" t="s"/>
      <c r="G2516" t="s"/>
      <c r="H2516" t="s"/>
      <c r="I2516" t="s"/>
      <c r="J2516" t="n">
        <v>0</v>
      </c>
      <c r="K2516" t="n">
        <v>0</v>
      </c>
      <c r="L2516" t="n">
        <v>1</v>
      </c>
      <c r="M2516" t="n">
        <v>0</v>
      </c>
    </row>
    <row r="2517" spans="1:13">
      <c r="A2517" s="1">
        <f>HYPERLINK("http://www.twitter.com/NathanBLawrence/status/914331561675411457", "914331561675411457")</f>
        <v/>
      </c>
      <c r="B2517" s="2" t="n">
        <v>43009.14590277777</v>
      </c>
      <c r="C2517" t="n">
        <v>1</v>
      </c>
      <c r="D2517" t="n">
        <v>0</v>
      </c>
      <c r="E2517" t="s">
        <v>2526</v>
      </c>
      <c r="F2517" t="s"/>
      <c r="G2517" t="s"/>
      <c r="H2517" t="s"/>
      <c r="I2517" t="s"/>
      <c r="J2517" t="n">
        <v>0.7506</v>
      </c>
      <c r="K2517" t="n">
        <v>0</v>
      </c>
      <c r="L2517" t="n">
        <v>0.632</v>
      </c>
      <c r="M2517" t="n">
        <v>0.368</v>
      </c>
    </row>
    <row r="2518" spans="1:13">
      <c r="A2518" s="1">
        <f>HYPERLINK("http://www.twitter.com/NathanBLawrence/status/914327360782168069", "914327360782168069")</f>
        <v/>
      </c>
      <c r="B2518" s="2" t="n">
        <v>43009.13430555556</v>
      </c>
      <c r="C2518" t="n">
        <v>0</v>
      </c>
      <c r="D2518" t="n">
        <v>0</v>
      </c>
      <c r="E2518" t="s">
        <v>2527</v>
      </c>
      <c r="F2518" t="s"/>
      <c r="G2518" t="s"/>
      <c r="H2518" t="s"/>
      <c r="I2518" t="s"/>
      <c r="J2518" t="n">
        <v>0.555</v>
      </c>
      <c r="K2518" t="n">
        <v>0</v>
      </c>
      <c r="L2518" t="n">
        <v>0.626</v>
      </c>
      <c r="M2518" t="n">
        <v>0.374</v>
      </c>
    </row>
    <row r="2519" spans="1:13">
      <c r="A2519" s="1">
        <f>HYPERLINK("http://www.twitter.com/NathanBLawrence/status/914222301343883264", "914222301343883264")</f>
        <v/>
      </c>
      <c r="B2519" s="2" t="n">
        <v>43008.84439814815</v>
      </c>
      <c r="C2519" t="n">
        <v>0</v>
      </c>
      <c r="D2519" t="n">
        <v>2</v>
      </c>
      <c r="E2519" t="s">
        <v>2528</v>
      </c>
      <c r="F2519">
        <f>HYPERLINK("http://pbs.twimg.com/media/DK_v51RUEAAn3nL.jpg", "http://pbs.twimg.com/media/DK_v51RUEAAn3nL.jpg")</f>
        <v/>
      </c>
      <c r="G2519" t="s"/>
      <c r="H2519" t="s"/>
      <c r="I2519" t="s"/>
      <c r="J2519" t="n">
        <v>-0.802</v>
      </c>
      <c r="K2519" t="n">
        <v>0.313</v>
      </c>
      <c r="L2519" t="n">
        <v>0.6870000000000001</v>
      </c>
      <c r="M2519" t="n">
        <v>0</v>
      </c>
    </row>
    <row r="2520" spans="1:13">
      <c r="A2520" s="1">
        <f>HYPERLINK("http://www.twitter.com/NathanBLawrence/status/914221646256459778", "914221646256459778")</f>
        <v/>
      </c>
      <c r="B2520" s="2" t="n">
        <v>43008.84259259259</v>
      </c>
      <c r="C2520" t="n">
        <v>2</v>
      </c>
      <c r="D2520" t="n">
        <v>1</v>
      </c>
      <c r="E2520" t="s">
        <v>2529</v>
      </c>
      <c r="F2520" t="s"/>
      <c r="G2520" t="s"/>
      <c r="H2520" t="s"/>
      <c r="I2520" t="s"/>
      <c r="J2520" t="n">
        <v>0.891</v>
      </c>
      <c r="K2520" t="n">
        <v>0</v>
      </c>
      <c r="L2520" t="n">
        <v>0.621</v>
      </c>
      <c r="M2520" t="n">
        <v>0.379</v>
      </c>
    </row>
    <row r="2521" spans="1:13">
      <c r="A2521" s="1">
        <f>HYPERLINK("http://www.twitter.com/NathanBLawrence/status/914214098346418178", "914214098346418178")</f>
        <v/>
      </c>
      <c r="B2521" s="2" t="n">
        <v>43008.82175925926</v>
      </c>
      <c r="C2521" t="n">
        <v>0</v>
      </c>
      <c r="D2521" t="n">
        <v>2194</v>
      </c>
      <c r="E2521" t="s">
        <v>2530</v>
      </c>
      <c r="F2521">
        <f>HYPERLINK("http://pbs.twimg.com/media/DK_qjjTUEAAzVD1.jpg", "http://pbs.twimg.com/media/DK_qjjTUEAAzVD1.jpg")</f>
        <v/>
      </c>
      <c r="G2521" t="s"/>
      <c r="H2521" t="s"/>
      <c r="I2521" t="s"/>
      <c r="J2521" t="n">
        <v>0</v>
      </c>
      <c r="K2521" t="n">
        <v>0</v>
      </c>
      <c r="L2521" t="n">
        <v>1</v>
      </c>
      <c r="M2521" t="n">
        <v>0</v>
      </c>
    </row>
    <row r="2522" spans="1:13">
      <c r="A2522" s="1">
        <f>HYPERLINK("http://www.twitter.com/NathanBLawrence/status/914213802736066560", "914213802736066560")</f>
        <v/>
      </c>
      <c r="B2522" s="2" t="n">
        <v>43008.82094907408</v>
      </c>
      <c r="C2522" t="n">
        <v>1</v>
      </c>
      <c r="D2522" t="n">
        <v>0</v>
      </c>
      <c r="E2522" t="s">
        <v>2531</v>
      </c>
      <c r="F2522" t="s"/>
      <c r="G2522" t="s"/>
      <c r="H2522" t="s"/>
      <c r="I2522" t="s"/>
      <c r="J2522" t="n">
        <v>0.3182</v>
      </c>
      <c r="K2522" t="n">
        <v>0</v>
      </c>
      <c r="L2522" t="n">
        <v>0.723</v>
      </c>
      <c r="M2522" t="n">
        <v>0.277</v>
      </c>
    </row>
    <row r="2523" spans="1:13">
      <c r="A2523" s="1">
        <f>HYPERLINK("http://www.twitter.com/NathanBLawrence/status/913897001233846272", "913897001233846272")</f>
        <v/>
      </c>
      <c r="B2523" s="2" t="n">
        <v>43007.94674768519</v>
      </c>
      <c r="C2523" t="n">
        <v>2</v>
      </c>
      <c r="D2523" t="n">
        <v>0</v>
      </c>
      <c r="E2523" t="s">
        <v>2532</v>
      </c>
      <c r="F2523" t="s"/>
      <c r="G2523" t="s"/>
      <c r="H2523" t="s"/>
      <c r="I2523" t="s"/>
      <c r="J2523" t="n">
        <v>0</v>
      </c>
      <c r="K2523" t="n">
        <v>0</v>
      </c>
      <c r="L2523" t="n">
        <v>1</v>
      </c>
      <c r="M2523" t="n">
        <v>0</v>
      </c>
    </row>
    <row r="2524" spans="1:13">
      <c r="A2524" s="1">
        <f>HYPERLINK("http://www.twitter.com/NathanBLawrence/status/913859880053862400", "913859880053862400")</f>
        <v/>
      </c>
      <c r="B2524" s="2" t="n">
        <v>43007.84430555555</v>
      </c>
      <c r="C2524" t="n">
        <v>0</v>
      </c>
      <c r="D2524" t="n">
        <v>0</v>
      </c>
      <c r="E2524" t="s">
        <v>2533</v>
      </c>
      <c r="F2524" t="s"/>
      <c r="G2524" t="s"/>
      <c r="H2524" t="s"/>
      <c r="I2524" t="s"/>
      <c r="J2524" t="n">
        <v>0</v>
      </c>
      <c r="K2524" t="n">
        <v>0</v>
      </c>
      <c r="L2524" t="n">
        <v>1</v>
      </c>
      <c r="M2524" t="n">
        <v>0</v>
      </c>
    </row>
    <row r="2525" spans="1:13">
      <c r="A2525" s="1">
        <f>HYPERLINK("http://www.twitter.com/NathanBLawrence/status/913844948226715648", "913844948226715648")</f>
        <v/>
      </c>
      <c r="B2525" s="2" t="n">
        <v>43007.80310185185</v>
      </c>
      <c r="C2525" t="n">
        <v>1</v>
      </c>
      <c r="D2525" t="n">
        <v>1</v>
      </c>
      <c r="E2525" t="s">
        <v>2534</v>
      </c>
      <c r="F2525" t="s"/>
      <c r="G2525" t="s"/>
      <c r="H2525" t="s"/>
      <c r="I2525" t="s"/>
      <c r="J2525" t="n">
        <v>0</v>
      </c>
      <c r="K2525" t="n">
        <v>0</v>
      </c>
      <c r="L2525" t="n">
        <v>1</v>
      </c>
      <c r="M2525" t="n">
        <v>0</v>
      </c>
    </row>
    <row r="2526" spans="1:13">
      <c r="A2526" s="1">
        <f>HYPERLINK("http://www.twitter.com/NathanBLawrence/status/913826926602702849", "913826926602702849")</f>
        <v/>
      </c>
      <c r="B2526" s="2" t="n">
        <v>43007.75337962963</v>
      </c>
      <c r="C2526" t="n">
        <v>0</v>
      </c>
      <c r="D2526" t="n">
        <v>0</v>
      </c>
      <c r="E2526" t="s">
        <v>2535</v>
      </c>
      <c r="F2526" t="s"/>
      <c r="G2526" t="s"/>
      <c r="H2526" t="s"/>
      <c r="I2526" t="s"/>
      <c r="J2526" t="n">
        <v>0</v>
      </c>
      <c r="K2526" t="n">
        <v>0</v>
      </c>
      <c r="L2526" t="n">
        <v>1</v>
      </c>
      <c r="M2526" t="n">
        <v>0</v>
      </c>
    </row>
    <row r="2527" spans="1:13">
      <c r="A2527" s="1">
        <f>HYPERLINK("http://www.twitter.com/NathanBLawrence/status/913803367582797824", "913803367582797824")</f>
        <v/>
      </c>
      <c r="B2527" s="2" t="n">
        <v>43007.68836805555</v>
      </c>
      <c r="C2527" t="n">
        <v>0</v>
      </c>
      <c r="D2527" t="n">
        <v>0</v>
      </c>
      <c r="E2527" t="s">
        <v>2536</v>
      </c>
      <c r="F2527" t="s"/>
      <c r="G2527" t="s"/>
      <c r="H2527" t="s"/>
      <c r="I2527" t="s"/>
      <c r="J2527" t="n">
        <v>-0.6369</v>
      </c>
      <c r="K2527" t="n">
        <v>0.245</v>
      </c>
      <c r="L2527" t="n">
        <v>0.755</v>
      </c>
      <c r="M2527" t="n">
        <v>0</v>
      </c>
    </row>
    <row r="2528" spans="1:13">
      <c r="A2528" s="1">
        <f>HYPERLINK("http://www.twitter.com/NathanBLawrence/status/913784501582647297", "913784501582647297")</f>
        <v/>
      </c>
      <c r="B2528" s="2" t="n">
        <v>43007.63630787037</v>
      </c>
      <c r="C2528" t="n">
        <v>0</v>
      </c>
      <c r="D2528" t="n">
        <v>0</v>
      </c>
      <c r="E2528" t="s">
        <v>2537</v>
      </c>
      <c r="F2528" t="s"/>
      <c r="G2528" t="s"/>
      <c r="H2528" t="s"/>
      <c r="I2528" t="s"/>
      <c r="J2528" t="n">
        <v>0</v>
      </c>
      <c r="K2528" t="n">
        <v>0</v>
      </c>
      <c r="L2528" t="n">
        <v>1</v>
      </c>
      <c r="M2528" t="n">
        <v>0</v>
      </c>
    </row>
    <row r="2529" spans="1:13">
      <c r="A2529" s="1">
        <f>HYPERLINK("http://www.twitter.com/NathanBLawrence/status/913773658946011137", "913773658946011137")</f>
        <v/>
      </c>
      <c r="B2529" s="2" t="n">
        <v>43007.60638888889</v>
      </c>
      <c r="C2529" t="n">
        <v>0</v>
      </c>
      <c r="D2529" t="n">
        <v>0</v>
      </c>
      <c r="E2529" t="s">
        <v>2538</v>
      </c>
      <c r="F2529" t="s"/>
      <c r="G2529" t="s"/>
      <c r="H2529" t="s"/>
      <c r="I2529" t="s"/>
      <c r="J2529" t="n">
        <v>-0.6597</v>
      </c>
      <c r="K2529" t="n">
        <v>0.8149999999999999</v>
      </c>
      <c r="L2529" t="n">
        <v>0.185</v>
      </c>
      <c r="M2529" t="n">
        <v>0</v>
      </c>
    </row>
    <row r="2530" spans="1:13">
      <c r="A2530" s="1">
        <f>HYPERLINK("http://www.twitter.com/NathanBLawrence/status/913762053516677120", "913762053516677120")</f>
        <v/>
      </c>
      <c r="B2530" s="2" t="n">
        <v>43007.57436342593</v>
      </c>
      <c r="C2530" t="n">
        <v>2</v>
      </c>
      <c r="D2530" t="n">
        <v>1</v>
      </c>
      <c r="E2530" t="s">
        <v>2539</v>
      </c>
      <c r="F2530" t="s"/>
      <c r="G2530" t="s"/>
      <c r="H2530" t="s"/>
      <c r="I2530" t="s"/>
      <c r="J2530" t="n">
        <v>-0.5423</v>
      </c>
      <c r="K2530" t="n">
        <v>0.263</v>
      </c>
      <c r="L2530" t="n">
        <v>0.617</v>
      </c>
      <c r="M2530" t="n">
        <v>0.119</v>
      </c>
    </row>
    <row r="2531" spans="1:13">
      <c r="A2531" s="1">
        <f>HYPERLINK("http://www.twitter.com/NathanBLawrence/status/913746778629042177", "913746778629042177")</f>
        <v/>
      </c>
      <c r="B2531" s="2" t="n">
        <v>43007.53221064815</v>
      </c>
      <c r="C2531" t="n">
        <v>0</v>
      </c>
      <c r="D2531" t="n">
        <v>0</v>
      </c>
      <c r="E2531" t="s">
        <v>2540</v>
      </c>
      <c r="F2531" t="s"/>
      <c r="G2531" t="s"/>
      <c r="H2531" t="s"/>
      <c r="I2531" t="s"/>
      <c r="J2531" t="n">
        <v>0.3464</v>
      </c>
      <c r="K2531" t="n">
        <v>0.077</v>
      </c>
      <c r="L2531" t="n">
        <v>0.789</v>
      </c>
      <c r="M2531" t="n">
        <v>0.134</v>
      </c>
    </row>
    <row r="2532" spans="1:13">
      <c r="A2532" s="1">
        <f>HYPERLINK("http://www.twitter.com/NathanBLawrence/status/913609955038711808", "913609955038711808")</f>
        <v/>
      </c>
      <c r="B2532" s="2" t="n">
        <v>43007.15464120371</v>
      </c>
      <c r="C2532" t="n">
        <v>1</v>
      </c>
      <c r="D2532" t="n">
        <v>0</v>
      </c>
      <c r="E2532" t="s">
        <v>2541</v>
      </c>
      <c r="F2532" t="s"/>
      <c r="G2532" t="s"/>
      <c r="H2532" t="s"/>
      <c r="I2532" t="s"/>
      <c r="J2532" t="n">
        <v>0.5859</v>
      </c>
      <c r="K2532" t="n">
        <v>0</v>
      </c>
      <c r="L2532" t="n">
        <v>0.758</v>
      </c>
      <c r="M2532" t="n">
        <v>0.242</v>
      </c>
    </row>
    <row r="2533" spans="1:13">
      <c r="A2533" s="1">
        <f>HYPERLINK("http://www.twitter.com/NathanBLawrence/status/913601856982720513", "913601856982720513")</f>
        <v/>
      </c>
      <c r="B2533" s="2" t="n">
        <v>43007.13230324074</v>
      </c>
      <c r="C2533" t="n">
        <v>2</v>
      </c>
      <c r="D2533" t="n">
        <v>0</v>
      </c>
      <c r="E2533" t="s">
        <v>2542</v>
      </c>
      <c r="F2533" t="s"/>
      <c r="G2533" t="s"/>
      <c r="H2533" t="s"/>
      <c r="I2533" t="s"/>
      <c r="J2533" t="n">
        <v>0.5538</v>
      </c>
      <c r="K2533" t="n">
        <v>0.167</v>
      </c>
      <c r="L2533" t="n">
        <v>0.487</v>
      </c>
      <c r="M2533" t="n">
        <v>0.346</v>
      </c>
    </row>
    <row r="2534" spans="1:13">
      <c r="A2534" s="1">
        <f>HYPERLINK("http://www.twitter.com/NathanBLawrence/status/913601504598257664", "913601504598257664")</f>
        <v/>
      </c>
      <c r="B2534" s="2" t="n">
        <v>43007.13133101852</v>
      </c>
      <c r="C2534" t="n">
        <v>1</v>
      </c>
      <c r="D2534" t="n">
        <v>0</v>
      </c>
      <c r="E2534" t="s">
        <v>2543</v>
      </c>
      <c r="F2534" t="s"/>
      <c r="G2534" t="s"/>
      <c r="H2534" t="s"/>
      <c r="I2534" t="s"/>
      <c r="J2534" t="n">
        <v>-0.2481</v>
      </c>
      <c r="K2534" t="n">
        <v>0.277</v>
      </c>
      <c r="L2534" t="n">
        <v>0.556</v>
      </c>
      <c r="M2534" t="n">
        <v>0.167</v>
      </c>
    </row>
    <row r="2535" spans="1:13">
      <c r="A2535" s="1">
        <f>HYPERLINK("http://www.twitter.com/NathanBLawrence/status/913531333107945473", "913531333107945473")</f>
        <v/>
      </c>
      <c r="B2535" s="2" t="n">
        <v>43006.93769675926</v>
      </c>
      <c r="C2535" t="n">
        <v>1</v>
      </c>
      <c r="D2535" t="n">
        <v>0</v>
      </c>
      <c r="E2535" t="s">
        <v>2544</v>
      </c>
      <c r="F2535" t="s"/>
      <c r="G2535" t="s"/>
      <c r="H2535" t="s"/>
      <c r="I2535" t="s"/>
      <c r="J2535" t="n">
        <v>0</v>
      </c>
      <c r="K2535" t="n">
        <v>0</v>
      </c>
      <c r="L2535" t="n">
        <v>1</v>
      </c>
      <c r="M2535" t="n">
        <v>0</v>
      </c>
    </row>
    <row r="2536" spans="1:13">
      <c r="A2536" s="1">
        <f>HYPERLINK("http://www.twitter.com/NathanBLawrence/status/913530649319010311", "913530649319010311")</f>
        <v/>
      </c>
      <c r="B2536" s="2" t="n">
        <v>43006.93581018518</v>
      </c>
      <c r="C2536" t="n">
        <v>1</v>
      </c>
      <c r="D2536" t="n">
        <v>0</v>
      </c>
      <c r="E2536" t="s">
        <v>2545</v>
      </c>
      <c r="F2536" t="s"/>
      <c r="G2536" t="s"/>
      <c r="H2536" t="s"/>
      <c r="I2536" t="s"/>
      <c r="J2536" t="n">
        <v>0</v>
      </c>
      <c r="K2536" t="n">
        <v>0</v>
      </c>
      <c r="L2536" t="n">
        <v>1</v>
      </c>
      <c r="M2536" t="n">
        <v>0</v>
      </c>
    </row>
    <row r="2537" spans="1:13">
      <c r="A2537" s="1">
        <f>HYPERLINK("http://www.twitter.com/NathanBLawrence/status/913499929070497793", "913499929070497793")</f>
        <v/>
      </c>
      <c r="B2537" s="2" t="n">
        <v>43006.85103009259</v>
      </c>
      <c r="C2537" t="n">
        <v>0</v>
      </c>
      <c r="D2537" t="n">
        <v>0</v>
      </c>
      <c r="E2537" t="s">
        <v>2546</v>
      </c>
      <c r="F2537" t="s"/>
      <c r="G2537" t="s"/>
      <c r="H2537" t="s"/>
      <c r="I2537" t="s"/>
      <c r="J2537" t="n">
        <v>0</v>
      </c>
      <c r="K2537" t="n">
        <v>0</v>
      </c>
      <c r="L2537" t="n">
        <v>1</v>
      </c>
      <c r="M2537" t="n">
        <v>0</v>
      </c>
    </row>
    <row r="2538" spans="1:13">
      <c r="A2538" s="1">
        <f>HYPERLINK("http://www.twitter.com/NathanBLawrence/status/913493409767313408", "913493409767313408")</f>
        <v/>
      </c>
      <c r="B2538" s="2" t="n">
        <v>43006.83304398148</v>
      </c>
      <c r="C2538" t="n">
        <v>1</v>
      </c>
      <c r="D2538" t="n">
        <v>0</v>
      </c>
      <c r="E2538" t="s">
        <v>2547</v>
      </c>
      <c r="F2538" t="s"/>
      <c r="G2538" t="s"/>
      <c r="H2538" t="s"/>
      <c r="I2538" t="s"/>
      <c r="J2538" t="n">
        <v>-0.743</v>
      </c>
      <c r="K2538" t="n">
        <v>0.31</v>
      </c>
      <c r="L2538" t="n">
        <v>0.537</v>
      </c>
      <c r="M2538" t="n">
        <v>0.152</v>
      </c>
    </row>
    <row r="2539" spans="1:13">
      <c r="A2539" s="1">
        <f>HYPERLINK("http://www.twitter.com/NathanBLawrence/status/913473830517198853", "913473830517198853")</f>
        <v/>
      </c>
      <c r="B2539" s="2" t="n">
        <v>43006.77901620371</v>
      </c>
      <c r="C2539" t="n">
        <v>0</v>
      </c>
      <c r="D2539" t="n">
        <v>0</v>
      </c>
      <c r="E2539" t="s">
        <v>2548</v>
      </c>
      <c r="F2539" t="s"/>
      <c r="G2539" t="s"/>
      <c r="H2539" t="s"/>
      <c r="I2539" t="s"/>
      <c r="J2539" t="n">
        <v>-0.0516</v>
      </c>
      <c r="K2539" t="n">
        <v>0.13</v>
      </c>
      <c r="L2539" t="n">
        <v>0.87</v>
      </c>
      <c r="M2539" t="n">
        <v>0</v>
      </c>
    </row>
    <row r="2540" spans="1:13">
      <c r="A2540" s="1">
        <f>HYPERLINK("http://www.twitter.com/NathanBLawrence/status/913388811308163074", "913388811308163074")</f>
        <v/>
      </c>
      <c r="B2540" s="2" t="n">
        <v>43006.54440972222</v>
      </c>
      <c r="C2540" t="n">
        <v>1</v>
      </c>
      <c r="D2540" t="n">
        <v>0</v>
      </c>
      <c r="E2540" t="s">
        <v>2549</v>
      </c>
      <c r="F2540" t="s"/>
      <c r="G2540" t="s"/>
      <c r="H2540" t="s"/>
      <c r="I2540" t="s"/>
      <c r="J2540" t="n">
        <v>0.4404</v>
      </c>
      <c r="K2540" t="n">
        <v>0</v>
      </c>
      <c r="L2540" t="n">
        <v>0.734</v>
      </c>
      <c r="M2540" t="n">
        <v>0.266</v>
      </c>
    </row>
    <row r="2541" spans="1:13">
      <c r="A2541" s="1">
        <f>HYPERLINK("http://www.twitter.com/NathanBLawrence/status/913387790070632453", "913387790070632453")</f>
        <v/>
      </c>
      <c r="B2541" s="2" t="n">
        <v>43006.54158564815</v>
      </c>
      <c r="C2541" t="n">
        <v>1</v>
      </c>
      <c r="D2541" t="n">
        <v>0</v>
      </c>
      <c r="E2541" t="s">
        <v>2550</v>
      </c>
      <c r="F2541" t="s"/>
      <c r="G2541" t="s"/>
      <c r="H2541" t="s"/>
      <c r="I2541" t="s"/>
      <c r="J2541" t="n">
        <v>0.5266999999999999</v>
      </c>
      <c r="K2541" t="n">
        <v>0</v>
      </c>
      <c r="L2541" t="n">
        <v>0.82</v>
      </c>
      <c r="M2541" t="n">
        <v>0.18</v>
      </c>
    </row>
    <row r="2542" spans="1:13">
      <c r="A2542" s="1">
        <f>HYPERLINK("http://www.twitter.com/NathanBLawrence/status/913386744397094912", "913386744397094912")</f>
        <v/>
      </c>
      <c r="B2542" s="2" t="n">
        <v>43006.53870370371</v>
      </c>
      <c r="C2542" t="n">
        <v>0</v>
      </c>
      <c r="D2542" t="n">
        <v>0</v>
      </c>
      <c r="E2542" t="s">
        <v>2551</v>
      </c>
      <c r="F2542" t="s"/>
      <c r="G2542" t="s"/>
      <c r="H2542" t="s"/>
      <c r="I2542" t="s"/>
      <c r="J2542" t="n">
        <v>-0.0516</v>
      </c>
      <c r="K2542" t="n">
        <v>0.146</v>
      </c>
      <c r="L2542" t="n">
        <v>0.75</v>
      </c>
      <c r="M2542" t="n">
        <v>0.104</v>
      </c>
    </row>
    <row r="2543" spans="1:13">
      <c r="A2543" s="1">
        <f>HYPERLINK("http://www.twitter.com/NathanBLawrence/status/913244694041235456", "913244694041235456")</f>
        <v/>
      </c>
      <c r="B2543" s="2" t="n">
        <v>43006.14671296296</v>
      </c>
      <c r="C2543" t="n">
        <v>1</v>
      </c>
      <c r="D2543" t="n">
        <v>0</v>
      </c>
      <c r="E2543" t="s">
        <v>2552</v>
      </c>
      <c r="F2543" t="s"/>
      <c r="G2543" t="s"/>
      <c r="H2543" t="s"/>
      <c r="I2543" t="s"/>
      <c r="J2543" t="n">
        <v>0</v>
      </c>
      <c r="K2543" t="n">
        <v>0</v>
      </c>
      <c r="L2543" t="n">
        <v>1</v>
      </c>
      <c r="M2543" t="n">
        <v>0</v>
      </c>
    </row>
    <row r="2544" spans="1:13">
      <c r="A2544" s="1">
        <f>HYPERLINK("http://www.twitter.com/NathanBLawrence/status/913219364509376512", "913219364509376512")</f>
        <v/>
      </c>
      <c r="B2544" s="2" t="n">
        <v>43006.07681712963</v>
      </c>
      <c r="C2544" t="n">
        <v>0</v>
      </c>
      <c r="D2544" t="n">
        <v>0</v>
      </c>
      <c r="E2544" t="s">
        <v>2553</v>
      </c>
      <c r="F2544" t="s"/>
      <c r="G2544" t="s"/>
      <c r="H2544" t="s"/>
      <c r="I2544" t="s"/>
      <c r="J2544" t="n">
        <v>-0.6093</v>
      </c>
      <c r="K2544" t="n">
        <v>0.498</v>
      </c>
      <c r="L2544" t="n">
        <v>0.502</v>
      </c>
      <c r="M2544" t="n">
        <v>0</v>
      </c>
    </row>
    <row r="2545" spans="1:13">
      <c r="A2545" s="1">
        <f>HYPERLINK("http://www.twitter.com/NathanBLawrence/status/913205848872243201", "913205848872243201")</f>
        <v/>
      </c>
      <c r="B2545" s="2" t="n">
        <v>43006.03952546296</v>
      </c>
      <c r="C2545" t="n">
        <v>1</v>
      </c>
      <c r="D2545" t="n">
        <v>0</v>
      </c>
      <c r="E2545" t="s">
        <v>2554</v>
      </c>
      <c r="F2545" t="s"/>
      <c r="G2545" t="s"/>
      <c r="H2545" t="s"/>
      <c r="I2545" t="s"/>
      <c r="J2545" t="n">
        <v>0</v>
      </c>
      <c r="K2545" t="n">
        <v>0</v>
      </c>
      <c r="L2545" t="n">
        <v>1</v>
      </c>
      <c r="M2545" t="n">
        <v>0</v>
      </c>
    </row>
    <row r="2546" spans="1:13">
      <c r="A2546" s="1">
        <f>HYPERLINK("http://www.twitter.com/NathanBLawrence/status/913201166296678400", "913201166296678400")</f>
        <v/>
      </c>
      <c r="B2546" s="2" t="n">
        <v>43006.0266087963</v>
      </c>
      <c r="C2546" t="n">
        <v>0</v>
      </c>
      <c r="D2546" t="n">
        <v>0</v>
      </c>
      <c r="E2546" t="s">
        <v>2555</v>
      </c>
      <c r="F2546" t="s"/>
      <c r="G2546" t="s"/>
      <c r="H2546" t="s"/>
      <c r="I2546" t="s"/>
      <c r="J2546" t="n">
        <v>-0.5994</v>
      </c>
      <c r="K2546" t="n">
        <v>0.328</v>
      </c>
      <c r="L2546" t="n">
        <v>0.672</v>
      </c>
      <c r="M2546" t="n">
        <v>0</v>
      </c>
    </row>
    <row r="2547" spans="1:13">
      <c r="A2547" s="1">
        <f>HYPERLINK("http://www.twitter.com/NathanBLawrence/status/913022906459918336", "913022906459918336")</f>
        <v/>
      </c>
      <c r="B2547" s="2" t="n">
        <v>43005.53469907407</v>
      </c>
      <c r="C2547" t="n">
        <v>1</v>
      </c>
      <c r="D2547" t="n">
        <v>0</v>
      </c>
      <c r="E2547" t="s">
        <v>2556</v>
      </c>
      <c r="F2547" t="s"/>
      <c r="G2547" t="s"/>
      <c r="H2547" t="s"/>
      <c r="I2547" t="s"/>
      <c r="J2547" t="n">
        <v>0</v>
      </c>
      <c r="K2547" t="n">
        <v>0</v>
      </c>
      <c r="L2547" t="n">
        <v>1</v>
      </c>
      <c r="M2547" t="n">
        <v>0</v>
      </c>
    </row>
    <row r="2548" spans="1:13">
      <c r="A2548" s="1">
        <f>HYPERLINK("http://www.twitter.com/NathanBLawrence/status/912876215408693248", "912876215408693248")</f>
        <v/>
      </c>
      <c r="B2548" s="2" t="n">
        <v>43005.1299074074</v>
      </c>
      <c r="C2548" t="n">
        <v>2</v>
      </c>
      <c r="D2548" t="n">
        <v>1</v>
      </c>
      <c r="E2548" t="s">
        <v>2557</v>
      </c>
      <c r="F2548" t="s"/>
      <c r="G2548" t="s"/>
      <c r="H2548" t="s"/>
      <c r="I2548" t="s"/>
      <c r="J2548" t="n">
        <v>0.6341</v>
      </c>
      <c r="K2548" t="n">
        <v>0</v>
      </c>
      <c r="L2548" t="n">
        <v>0.846</v>
      </c>
      <c r="M2548" t="n">
        <v>0.154</v>
      </c>
    </row>
    <row r="2549" spans="1:13">
      <c r="A2549" s="1">
        <f>HYPERLINK("http://www.twitter.com/NathanBLawrence/status/912872919272914944", "912872919272914944")</f>
        <v/>
      </c>
      <c r="B2549" s="2" t="n">
        <v>43005.12081018519</v>
      </c>
      <c r="C2549" t="n">
        <v>0</v>
      </c>
      <c r="D2549" t="n">
        <v>13</v>
      </c>
      <c r="E2549" t="s">
        <v>2558</v>
      </c>
      <c r="F2549">
        <f>HYPERLINK("http://pbs.twimg.com/media/DBPvVDvXYAAjF86.jpg", "http://pbs.twimg.com/media/DBPvVDvXYAAjF86.jpg")</f>
        <v/>
      </c>
      <c r="G2549" t="s"/>
      <c r="H2549" t="s"/>
      <c r="I2549" t="s"/>
      <c r="J2549" t="n">
        <v>0.5562</v>
      </c>
      <c r="K2549" t="n">
        <v>0</v>
      </c>
      <c r="L2549" t="n">
        <v>0.796</v>
      </c>
      <c r="M2549" t="n">
        <v>0.204</v>
      </c>
    </row>
    <row r="2550" spans="1:13">
      <c r="A2550" s="1">
        <f>HYPERLINK("http://www.twitter.com/NathanBLawrence/status/912870728097259521", "912870728097259521")</f>
        <v/>
      </c>
      <c r="B2550" s="2" t="n">
        <v>43005.11476851852</v>
      </c>
      <c r="C2550" t="n">
        <v>0</v>
      </c>
      <c r="D2550" t="n">
        <v>0</v>
      </c>
      <c r="E2550" t="s">
        <v>2559</v>
      </c>
      <c r="F2550" t="s"/>
      <c r="G2550" t="s"/>
      <c r="H2550" t="s"/>
      <c r="I2550" t="s"/>
      <c r="J2550" t="n">
        <v>0</v>
      </c>
      <c r="K2550" t="n">
        <v>0</v>
      </c>
      <c r="L2550" t="n">
        <v>1</v>
      </c>
      <c r="M2550" t="n">
        <v>0</v>
      </c>
    </row>
    <row r="2551" spans="1:13">
      <c r="A2551" s="1">
        <f>HYPERLINK("http://www.twitter.com/NathanBLawrence/status/912864407956414465", "912864407956414465")</f>
        <v/>
      </c>
      <c r="B2551" s="2" t="n">
        <v>43005.09732638889</v>
      </c>
      <c r="C2551" t="n">
        <v>2</v>
      </c>
      <c r="D2551" t="n">
        <v>1</v>
      </c>
      <c r="E2551" t="s">
        <v>2560</v>
      </c>
      <c r="F2551" t="s"/>
      <c r="G2551" t="s"/>
      <c r="H2551" t="s"/>
      <c r="I2551" t="s"/>
      <c r="J2551" t="n">
        <v>0</v>
      </c>
      <c r="K2551" t="n">
        <v>0</v>
      </c>
      <c r="L2551" t="n">
        <v>1</v>
      </c>
      <c r="M2551" t="n">
        <v>0</v>
      </c>
    </row>
    <row r="2552" spans="1:13">
      <c r="A2552" s="1">
        <f>HYPERLINK("http://www.twitter.com/NathanBLawrence/status/912864005240311809", "912864005240311809")</f>
        <v/>
      </c>
      <c r="B2552" s="2" t="n">
        <v>43005.09621527778</v>
      </c>
      <c r="C2552" t="n">
        <v>0</v>
      </c>
      <c r="D2552" t="n">
        <v>0</v>
      </c>
      <c r="E2552" t="s">
        <v>2561</v>
      </c>
      <c r="F2552" t="s"/>
      <c r="G2552" t="s"/>
      <c r="H2552" t="s"/>
      <c r="I2552" t="s"/>
      <c r="J2552" t="n">
        <v>0</v>
      </c>
      <c r="K2552" t="n">
        <v>0</v>
      </c>
      <c r="L2552" t="n">
        <v>1</v>
      </c>
      <c r="M2552" t="n">
        <v>0</v>
      </c>
    </row>
    <row r="2553" spans="1:13">
      <c r="A2553" s="1">
        <f>HYPERLINK("http://www.twitter.com/NathanBLawrence/status/912854616424906753", "912854616424906753")</f>
        <v/>
      </c>
      <c r="B2553" s="2" t="n">
        <v>43005.0703125</v>
      </c>
      <c r="C2553" t="n">
        <v>2</v>
      </c>
      <c r="D2553" t="n">
        <v>0</v>
      </c>
      <c r="E2553" t="s">
        <v>2562</v>
      </c>
      <c r="F2553" t="s"/>
      <c r="G2553" t="s"/>
      <c r="H2553" t="s"/>
      <c r="I2553" t="s"/>
      <c r="J2553" t="n">
        <v>0</v>
      </c>
      <c r="K2553" t="n">
        <v>0</v>
      </c>
      <c r="L2553" t="n">
        <v>1</v>
      </c>
      <c r="M2553" t="n">
        <v>0</v>
      </c>
    </row>
    <row r="2554" spans="1:13">
      <c r="A2554" s="1">
        <f>HYPERLINK("http://www.twitter.com/NathanBLawrence/status/912838700937117701", "912838700937117701")</f>
        <v/>
      </c>
      <c r="B2554" s="2" t="n">
        <v>43005.02638888889</v>
      </c>
      <c r="C2554" t="n">
        <v>1</v>
      </c>
      <c r="D2554" t="n">
        <v>0</v>
      </c>
      <c r="E2554" t="s">
        <v>2563</v>
      </c>
      <c r="F2554" t="s"/>
      <c r="G2554" t="s"/>
      <c r="H2554" t="s"/>
      <c r="I2554" t="s"/>
      <c r="J2554" t="n">
        <v>0.2023</v>
      </c>
      <c r="K2554" t="n">
        <v>0.196</v>
      </c>
      <c r="L2554" t="n">
        <v>0.536</v>
      </c>
      <c r="M2554" t="n">
        <v>0.268</v>
      </c>
    </row>
    <row r="2555" spans="1:13">
      <c r="A2555" s="1">
        <f>HYPERLINK("http://www.twitter.com/NathanBLawrence/status/912511088578711552", "912511088578711552")</f>
        <v/>
      </c>
      <c r="B2555" s="2" t="n">
        <v>43004.12234953704</v>
      </c>
      <c r="C2555" t="n">
        <v>1</v>
      </c>
      <c r="D2555" t="n">
        <v>0</v>
      </c>
      <c r="E2555" t="s">
        <v>2564</v>
      </c>
      <c r="F2555" t="s"/>
      <c r="G2555" t="s"/>
      <c r="H2555" t="s"/>
      <c r="I2555" t="s"/>
      <c r="J2555" t="n">
        <v>0</v>
      </c>
      <c r="K2555" t="n">
        <v>0</v>
      </c>
      <c r="L2555" t="n">
        <v>1</v>
      </c>
      <c r="M2555" t="n">
        <v>0</v>
      </c>
    </row>
    <row r="2556" spans="1:13">
      <c r="A2556" s="1">
        <f>HYPERLINK("http://www.twitter.com/NathanBLawrence/status/912510289786163201", "912510289786163201")</f>
        <v/>
      </c>
      <c r="B2556" s="2" t="n">
        <v>43004.12015046296</v>
      </c>
      <c r="C2556" t="n">
        <v>1</v>
      </c>
      <c r="D2556" t="n">
        <v>0</v>
      </c>
      <c r="E2556" t="s">
        <v>2565</v>
      </c>
      <c r="F2556" t="s"/>
      <c r="G2556" t="s"/>
      <c r="H2556" t="s"/>
      <c r="I2556" t="s"/>
      <c r="J2556" t="n">
        <v>0</v>
      </c>
      <c r="K2556" t="n">
        <v>0</v>
      </c>
      <c r="L2556" t="n">
        <v>1</v>
      </c>
      <c r="M2556" t="n">
        <v>0</v>
      </c>
    </row>
    <row r="2557" spans="1:13">
      <c r="A2557" s="1">
        <f>HYPERLINK("http://www.twitter.com/NathanBLawrence/status/912509736049836032", "912509736049836032")</f>
        <v/>
      </c>
      <c r="B2557" s="2" t="n">
        <v>43004.11862268519</v>
      </c>
      <c r="C2557" t="n">
        <v>1</v>
      </c>
      <c r="D2557" t="n">
        <v>0</v>
      </c>
      <c r="E2557" t="s">
        <v>2566</v>
      </c>
      <c r="F2557" t="s"/>
      <c r="G2557" t="s"/>
      <c r="H2557" t="s"/>
      <c r="I2557" t="s"/>
      <c r="J2557" t="n">
        <v>-0.2263</v>
      </c>
      <c r="K2557" t="n">
        <v>0.192</v>
      </c>
      <c r="L2557" t="n">
        <v>0.8080000000000001</v>
      </c>
      <c r="M2557" t="n">
        <v>0</v>
      </c>
    </row>
    <row r="2558" spans="1:13">
      <c r="A2558" s="1">
        <f>HYPERLINK("http://www.twitter.com/NathanBLawrence/status/912506336885305344", "912506336885305344")</f>
        <v/>
      </c>
      <c r="B2558" s="2" t="n">
        <v>43004.10923611111</v>
      </c>
      <c r="C2558" t="n">
        <v>0</v>
      </c>
      <c r="D2558" t="n">
        <v>11</v>
      </c>
      <c r="E2558" t="s">
        <v>2567</v>
      </c>
      <c r="F2558">
        <f>HYPERLINK("http://pbs.twimg.com/media/DKnenoOVoAEAw5a.jpg", "http://pbs.twimg.com/media/DKnenoOVoAEAw5a.jpg")</f>
        <v/>
      </c>
      <c r="G2558" t="s"/>
      <c r="H2558" t="s"/>
      <c r="I2558" t="s"/>
      <c r="J2558" t="n">
        <v>-0.296</v>
      </c>
      <c r="K2558" t="n">
        <v>0.128</v>
      </c>
      <c r="L2558" t="n">
        <v>0.872</v>
      </c>
      <c r="M2558" t="n">
        <v>0</v>
      </c>
    </row>
    <row r="2559" spans="1:13">
      <c r="A2559" s="1">
        <f>HYPERLINK("http://www.twitter.com/NathanBLawrence/status/912470875643039745", "912470875643039745")</f>
        <v/>
      </c>
      <c r="B2559" s="2" t="n">
        <v>43004.01138888889</v>
      </c>
      <c r="C2559" t="n">
        <v>3</v>
      </c>
      <c r="D2559" t="n">
        <v>0</v>
      </c>
      <c r="E2559" t="s">
        <v>2568</v>
      </c>
      <c r="F2559" t="s"/>
      <c r="G2559" t="s"/>
      <c r="H2559" t="s"/>
      <c r="I2559" t="s"/>
      <c r="J2559" t="n">
        <v>0</v>
      </c>
      <c r="K2559" t="n">
        <v>0</v>
      </c>
      <c r="L2559" t="n">
        <v>1</v>
      </c>
      <c r="M2559" t="n">
        <v>0</v>
      </c>
    </row>
    <row r="2560" spans="1:13">
      <c r="A2560" s="1">
        <f>HYPERLINK("http://www.twitter.com/NathanBLawrence/status/912441211558023170", "912441211558023170")</f>
        <v/>
      </c>
      <c r="B2560" s="2" t="n">
        <v>43003.92952546296</v>
      </c>
      <c r="C2560" t="n">
        <v>0</v>
      </c>
      <c r="D2560" t="n">
        <v>1</v>
      </c>
      <c r="E2560" t="s">
        <v>2569</v>
      </c>
      <c r="F2560" t="s"/>
      <c r="G2560" t="s"/>
      <c r="H2560" t="s"/>
      <c r="I2560" t="s"/>
      <c r="J2560" t="n">
        <v>0</v>
      </c>
      <c r="K2560" t="n">
        <v>0</v>
      </c>
      <c r="L2560" t="n">
        <v>1</v>
      </c>
      <c r="M2560" t="n">
        <v>0</v>
      </c>
    </row>
    <row r="2561" spans="1:13">
      <c r="A2561" s="1">
        <f>HYPERLINK("http://www.twitter.com/NathanBLawrence/status/912378840923729920", "912378840923729920")</f>
        <v/>
      </c>
      <c r="B2561" s="2" t="n">
        <v>43003.75741898148</v>
      </c>
      <c r="C2561" t="n">
        <v>0</v>
      </c>
      <c r="D2561" t="n">
        <v>0</v>
      </c>
      <c r="E2561" t="s">
        <v>2570</v>
      </c>
      <c r="F2561" t="s"/>
      <c r="G2561" t="s"/>
      <c r="H2561" t="s"/>
      <c r="I2561" t="s"/>
      <c r="J2561" t="n">
        <v>0</v>
      </c>
      <c r="K2561" t="n">
        <v>0</v>
      </c>
      <c r="L2561" t="n">
        <v>1</v>
      </c>
      <c r="M2561" t="n">
        <v>0</v>
      </c>
    </row>
    <row r="2562" spans="1:13">
      <c r="A2562" s="1">
        <f>HYPERLINK("http://www.twitter.com/NathanBLawrence/status/912372296416923648", "912372296416923648")</f>
        <v/>
      </c>
      <c r="B2562" s="2" t="n">
        <v>43003.73936342593</v>
      </c>
      <c r="C2562" t="n">
        <v>0</v>
      </c>
      <c r="D2562" t="n">
        <v>0</v>
      </c>
      <c r="E2562" t="s">
        <v>2571</v>
      </c>
      <c r="F2562" t="s"/>
      <c r="G2562" t="s"/>
      <c r="H2562" t="s"/>
      <c r="I2562" t="s"/>
      <c r="J2562" t="n">
        <v>-0.5594</v>
      </c>
      <c r="K2562" t="n">
        <v>0.264</v>
      </c>
      <c r="L2562" t="n">
        <v>0.649</v>
      </c>
      <c r="M2562" t="n">
        <v>0.08799999999999999</v>
      </c>
    </row>
    <row r="2563" spans="1:13">
      <c r="A2563" s="1">
        <f>HYPERLINK("http://www.twitter.com/NathanBLawrence/status/912143858917675009", "912143858917675009")</f>
        <v/>
      </c>
      <c r="B2563" s="2" t="n">
        <v>43003.10899305555</v>
      </c>
      <c r="C2563" t="n">
        <v>0</v>
      </c>
      <c r="D2563" t="n">
        <v>835</v>
      </c>
      <c r="E2563" t="s">
        <v>2572</v>
      </c>
      <c r="F2563" t="s"/>
      <c r="G2563" t="s"/>
      <c r="H2563" t="s"/>
      <c r="I2563" t="s"/>
      <c r="J2563" t="n">
        <v>-0.7391</v>
      </c>
      <c r="K2563" t="n">
        <v>0.266</v>
      </c>
      <c r="L2563" t="n">
        <v>0.734</v>
      </c>
      <c r="M2563" t="n">
        <v>0</v>
      </c>
    </row>
    <row r="2564" spans="1:13">
      <c r="A2564" s="1">
        <f>HYPERLINK("http://www.twitter.com/NathanBLawrence/status/912138406150524933", "912138406150524933")</f>
        <v/>
      </c>
      <c r="B2564" s="2" t="n">
        <v>43003.09394675926</v>
      </c>
      <c r="C2564" t="n">
        <v>0</v>
      </c>
      <c r="D2564" t="n">
        <v>0</v>
      </c>
      <c r="E2564" t="s">
        <v>2573</v>
      </c>
      <c r="F2564" t="s"/>
      <c r="G2564" t="s"/>
      <c r="H2564" t="s"/>
      <c r="I2564" t="s"/>
      <c r="J2564" t="n">
        <v>0.1027</v>
      </c>
      <c r="K2564" t="n">
        <v>0.256</v>
      </c>
      <c r="L2564" t="n">
        <v>0.444</v>
      </c>
      <c r="M2564" t="n">
        <v>0.3</v>
      </c>
    </row>
    <row r="2565" spans="1:13">
      <c r="A2565" s="1">
        <f>HYPERLINK("http://www.twitter.com/NathanBLawrence/status/912097274372771840", "912097274372771840")</f>
        <v/>
      </c>
      <c r="B2565" s="2" t="n">
        <v>43002.98043981481</v>
      </c>
      <c r="C2565" t="n">
        <v>0</v>
      </c>
      <c r="D2565" t="n">
        <v>0</v>
      </c>
      <c r="E2565" t="s">
        <v>2574</v>
      </c>
      <c r="F2565" t="s"/>
      <c r="G2565" t="s"/>
      <c r="H2565" t="s"/>
      <c r="I2565" t="s"/>
      <c r="J2565" t="n">
        <v>0.4939</v>
      </c>
      <c r="K2565" t="n">
        <v>0</v>
      </c>
      <c r="L2565" t="n">
        <v>0.758</v>
      </c>
      <c r="M2565" t="n">
        <v>0.242</v>
      </c>
    </row>
    <row r="2566" spans="1:13">
      <c r="A2566" s="1">
        <f>HYPERLINK("http://www.twitter.com/NathanBLawrence/status/912077534816333824", "912077534816333824")</f>
        <v/>
      </c>
      <c r="B2566" s="2" t="n">
        <v>43002.92597222222</v>
      </c>
      <c r="C2566" t="n">
        <v>1</v>
      </c>
      <c r="D2566" t="n">
        <v>0</v>
      </c>
      <c r="E2566" t="s">
        <v>2575</v>
      </c>
      <c r="F2566" t="s"/>
      <c r="G2566" t="s"/>
      <c r="H2566" t="s"/>
      <c r="I2566" t="s"/>
      <c r="J2566" t="n">
        <v>0</v>
      </c>
      <c r="K2566" t="n">
        <v>0</v>
      </c>
      <c r="L2566" t="n">
        <v>1</v>
      </c>
      <c r="M2566" t="n">
        <v>0</v>
      </c>
    </row>
    <row r="2567" spans="1:13">
      <c r="A2567" s="1">
        <f>HYPERLINK("http://www.twitter.com/NathanBLawrence/status/912075026014380032", "912075026014380032")</f>
        <v/>
      </c>
      <c r="B2567" s="2" t="n">
        <v>43002.91905092593</v>
      </c>
      <c r="C2567" t="n">
        <v>0</v>
      </c>
      <c r="D2567" t="n">
        <v>49795</v>
      </c>
      <c r="E2567" t="s">
        <v>2576</v>
      </c>
      <c r="F2567">
        <f>HYPERLINK("http://pbs.twimg.com/media/DKgTWlwXoAA3eev.jpg", "http://pbs.twimg.com/media/DKgTWlwXoAA3eev.jpg")</f>
        <v/>
      </c>
      <c r="G2567" t="s"/>
      <c r="H2567" t="s"/>
      <c r="I2567" t="s"/>
      <c r="J2567" t="n">
        <v>0</v>
      </c>
      <c r="K2567" t="n">
        <v>0</v>
      </c>
      <c r="L2567" t="n">
        <v>1</v>
      </c>
      <c r="M2567" t="n">
        <v>0</v>
      </c>
    </row>
    <row r="2568" spans="1:13">
      <c r="A2568" s="1">
        <f>HYPERLINK("http://www.twitter.com/NathanBLawrence/status/912040222996795392", "912040222996795392")</f>
        <v/>
      </c>
      <c r="B2568" s="2" t="n">
        <v>43002.82300925926</v>
      </c>
      <c r="C2568" t="n">
        <v>0</v>
      </c>
      <c r="D2568" t="n">
        <v>0</v>
      </c>
      <c r="E2568" t="s">
        <v>2577</v>
      </c>
      <c r="F2568" t="s"/>
      <c r="G2568" t="s"/>
      <c r="H2568" t="s"/>
      <c r="I2568" t="s"/>
      <c r="J2568" t="n">
        <v>0</v>
      </c>
      <c r="K2568" t="n">
        <v>0.172</v>
      </c>
      <c r="L2568" t="n">
        <v>0.656</v>
      </c>
      <c r="M2568" t="n">
        <v>0.172</v>
      </c>
    </row>
    <row r="2569" spans="1:13">
      <c r="A2569" s="1">
        <f>HYPERLINK("http://www.twitter.com/NathanBLawrence/status/912028616791347200", "912028616791347200")</f>
        <v/>
      </c>
      <c r="B2569" s="2" t="n">
        <v>43002.79098379629</v>
      </c>
      <c r="C2569" t="n">
        <v>1</v>
      </c>
      <c r="D2569" t="n">
        <v>0</v>
      </c>
      <c r="E2569" t="s">
        <v>2578</v>
      </c>
      <c r="F2569" t="s"/>
      <c r="G2569" t="s"/>
      <c r="H2569" t="s"/>
      <c r="I2569" t="s"/>
      <c r="J2569" t="n">
        <v>0</v>
      </c>
      <c r="K2569" t="n">
        <v>0</v>
      </c>
      <c r="L2569" t="n">
        <v>1</v>
      </c>
      <c r="M2569" t="n">
        <v>0</v>
      </c>
    </row>
    <row r="2570" spans="1:13">
      <c r="A2570" s="1">
        <f>HYPERLINK("http://www.twitter.com/NathanBLawrence/status/911820967353225216", "911820967353225216")</f>
        <v/>
      </c>
      <c r="B2570" s="2" t="n">
        <v>43002.21798611111</v>
      </c>
      <c r="C2570" t="n">
        <v>0</v>
      </c>
      <c r="D2570" t="n">
        <v>8837</v>
      </c>
      <c r="E2570" t="s">
        <v>2579</v>
      </c>
      <c r="F2570" t="s"/>
      <c r="G2570" t="s"/>
      <c r="H2570" t="s"/>
      <c r="I2570" t="s"/>
      <c r="J2570" t="n">
        <v>-0.4019</v>
      </c>
      <c r="K2570" t="n">
        <v>0.137</v>
      </c>
      <c r="L2570" t="n">
        <v>0.863</v>
      </c>
      <c r="M2570" t="n">
        <v>0</v>
      </c>
    </row>
    <row r="2571" spans="1:13">
      <c r="A2571" s="1">
        <f>HYPERLINK("http://www.twitter.com/NathanBLawrence/status/911805931515674625", "911805931515674625")</f>
        <v/>
      </c>
      <c r="B2571" s="2" t="n">
        <v>43002.17649305556</v>
      </c>
      <c r="C2571" t="n">
        <v>1</v>
      </c>
      <c r="D2571" t="n">
        <v>0</v>
      </c>
      <c r="E2571" t="s">
        <v>2580</v>
      </c>
      <c r="F2571" t="s"/>
      <c r="G2571" t="s"/>
      <c r="H2571" t="s"/>
      <c r="I2571" t="s"/>
      <c r="J2571" t="n">
        <v>0</v>
      </c>
      <c r="K2571" t="n">
        <v>0</v>
      </c>
      <c r="L2571" t="n">
        <v>1</v>
      </c>
      <c r="M2571" t="n">
        <v>0</v>
      </c>
    </row>
    <row r="2572" spans="1:13">
      <c r="A2572" s="1">
        <f>HYPERLINK("http://www.twitter.com/NathanBLawrence/status/911682722833330176", "911682722833330176")</f>
        <v/>
      </c>
      <c r="B2572" s="2" t="n">
        <v>43001.83650462963</v>
      </c>
      <c r="C2572" t="n">
        <v>2</v>
      </c>
      <c r="D2572" t="n">
        <v>0</v>
      </c>
      <c r="E2572" t="s">
        <v>2581</v>
      </c>
      <c r="F2572" t="s"/>
      <c r="G2572" t="s"/>
      <c r="H2572" t="s"/>
      <c r="I2572" t="s"/>
      <c r="J2572" t="n">
        <v>0</v>
      </c>
      <c r="K2572" t="n">
        <v>0</v>
      </c>
      <c r="L2572" t="n">
        <v>1</v>
      </c>
      <c r="M2572" t="n">
        <v>0</v>
      </c>
    </row>
    <row r="2573" spans="1:13">
      <c r="A2573" s="1">
        <f>HYPERLINK("http://www.twitter.com/NathanBLawrence/status/911681888703729664", "911681888703729664")</f>
        <v/>
      </c>
      <c r="B2573" s="2" t="n">
        <v>43001.83420138889</v>
      </c>
      <c r="C2573" t="n">
        <v>0</v>
      </c>
      <c r="D2573" t="n">
        <v>0</v>
      </c>
      <c r="E2573" t="s">
        <v>2582</v>
      </c>
      <c r="F2573" t="s"/>
      <c r="G2573" t="s"/>
      <c r="H2573" t="s"/>
      <c r="I2573" t="s"/>
      <c r="J2573" t="n">
        <v>0</v>
      </c>
      <c r="K2573" t="n">
        <v>0</v>
      </c>
      <c r="L2573" t="n">
        <v>1</v>
      </c>
      <c r="M2573" t="n">
        <v>0</v>
      </c>
    </row>
    <row r="2574" spans="1:13">
      <c r="A2574" s="1">
        <f>HYPERLINK("http://www.twitter.com/NathanBLawrence/status/911596112439635969", "911596112439635969")</f>
        <v/>
      </c>
      <c r="B2574" s="2" t="n">
        <v>43001.5975</v>
      </c>
      <c r="C2574" t="n">
        <v>2</v>
      </c>
      <c r="D2574" t="n">
        <v>0</v>
      </c>
      <c r="E2574" t="s">
        <v>2583</v>
      </c>
      <c r="F2574" t="s"/>
      <c r="G2574" t="s"/>
      <c r="H2574" t="s"/>
      <c r="I2574" t="s"/>
      <c r="J2574" t="n">
        <v>0.7783</v>
      </c>
      <c r="K2574" t="n">
        <v>0</v>
      </c>
      <c r="L2574" t="n">
        <v>0.6879999999999999</v>
      </c>
      <c r="M2574" t="n">
        <v>0.312</v>
      </c>
    </row>
    <row r="2575" spans="1:13">
      <c r="A2575" s="1">
        <f>HYPERLINK("http://www.twitter.com/NathanBLawrence/status/911584459824287744", "911584459824287744")</f>
        <v/>
      </c>
      <c r="B2575" s="2" t="n">
        <v>43001.56534722223</v>
      </c>
      <c r="C2575" t="n">
        <v>0</v>
      </c>
      <c r="D2575" t="n">
        <v>0</v>
      </c>
      <c r="E2575" t="s">
        <v>2584</v>
      </c>
      <c r="F2575" t="s"/>
      <c r="G2575" t="s"/>
      <c r="H2575" t="s"/>
      <c r="I2575" t="s"/>
      <c r="J2575" t="n">
        <v>0.6209</v>
      </c>
      <c r="K2575" t="n">
        <v>0</v>
      </c>
      <c r="L2575" t="n">
        <v>0.775</v>
      </c>
      <c r="M2575" t="n">
        <v>0.225</v>
      </c>
    </row>
    <row r="2576" spans="1:13">
      <c r="A2576" s="1">
        <f>HYPERLINK("http://www.twitter.com/NathanBLawrence/status/911581358597828609", "911581358597828609")</f>
        <v/>
      </c>
      <c r="B2576" s="2" t="n">
        <v>43001.55678240741</v>
      </c>
      <c r="C2576" t="n">
        <v>0</v>
      </c>
      <c r="D2576" t="n">
        <v>8</v>
      </c>
      <c r="E2576" t="s">
        <v>2585</v>
      </c>
      <c r="F2576" t="s"/>
      <c r="G2576" t="s"/>
      <c r="H2576" t="s"/>
      <c r="I2576" t="s"/>
      <c r="J2576" t="n">
        <v>0.4019</v>
      </c>
      <c r="K2576" t="n">
        <v>0</v>
      </c>
      <c r="L2576" t="n">
        <v>0.838</v>
      </c>
      <c r="M2576" t="n">
        <v>0.162</v>
      </c>
    </row>
    <row r="2577" spans="1:13">
      <c r="A2577" s="1">
        <f>HYPERLINK("http://www.twitter.com/NathanBLawrence/status/911447973967613952", "911447973967613952")</f>
        <v/>
      </c>
      <c r="B2577" s="2" t="n">
        <v>43001.18871527778</v>
      </c>
      <c r="C2577" t="n">
        <v>0</v>
      </c>
      <c r="D2577" t="n">
        <v>7149</v>
      </c>
      <c r="E2577" t="s">
        <v>2586</v>
      </c>
      <c r="F2577" t="s"/>
      <c r="G2577" t="s"/>
      <c r="H2577" t="s"/>
      <c r="I2577" t="s"/>
      <c r="J2577" t="n">
        <v>0.5423</v>
      </c>
      <c r="K2577" t="n">
        <v>0</v>
      </c>
      <c r="L2577" t="n">
        <v>0.6899999999999999</v>
      </c>
      <c r="M2577" t="n">
        <v>0.31</v>
      </c>
    </row>
    <row r="2578" spans="1:13">
      <c r="A2578" s="1">
        <f>HYPERLINK("http://www.twitter.com/NathanBLawrence/status/911446527666802688", "911446527666802688")</f>
        <v/>
      </c>
      <c r="B2578" s="2" t="n">
        <v>43001.18472222222</v>
      </c>
      <c r="C2578" t="n">
        <v>2</v>
      </c>
      <c r="D2578" t="n">
        <v>0</v>
      </c>
      <c r="E2578" t="s">
        <v>2587</v>
      </c>
      <c r="F2578" t="s"/>
      <c r="G2578" t="s"/>
      <c r="H2578" t="s"/>
      <c r="I2578" t="s"/>
      <c r="J2578" t="n">
        <v>0.2263</v>
      </c>
      <c r="K2578" t="n">
        <v>0.152</v>
      </c>
      <c r="L2578" t="n">
        <v>0.643</v>
      </c>
      <c r="M2578" t="n">
        <v>0.205</v>
      </c>
    </row>
    <row r="2579" spans="1:13">
      <c r="A2579" s="1">
        <f>HYPERLINK("http://www.twitter.com/NathanBLawrence/status/911445297842311168", "911445297842311168")</f>
        <v/>
      </c>
      <c r="B2579" s="2" t="n">
        <v>43001.18133101852</v>
      </c>
      <c r="C2579" t="n">
        <v>0</v>
      </c>
      <c r="D2579" t="n">
        <v>0</v>
      </c>
      <c r="E2579" t="s">
        <v>2588</v>
      </c>
      <c r="F2579" t="s"/>
      <c r="G2579" t="s"/>
      <c r="H2579" t="s"/>
      <c r="I2579" t="s"/>
      <c r="J2579" t="n">
        <v>0</v>
      </c>
      <c r="K2579" t="n">
        <v>0</v>
      </c>
      <c r="L2579" t="n">
        <v>1</v>
      </c>
      <c r="M2579" t="n">
        <v>0</v>
      </c>
    </row>
    <row r="2580" spans="1:13">
      <c r="A2580" s="1">
        <f>HYPERLINK("http://www.twitter.com/NathanBLawrence/status/911438620703248386", "911438620703248386")</f>
        <v/>
      </c>
      <c r="B2580" s="2" t="n">
        <v>43001.16290509259</v>
      </c>
      <c r="C2580" t="n">
        <v>0</v>
      </c>
      <c r="D2580" t="n">
        <v>0</v>
      </c>
      <c r="E2580" t="s">
        <v>2589</v>
      </c>
      <c r="F2580" t="s"/>
      <c r="G2580" t="s"/>
      <c r="H2580" t="s"/>
      <c r="I2580" t="s"/>
      <c r="J2580" t="n">
        <v>0.7004</v>
      </c>
      <c r="K2580" t="n">
        <v>0.112</v>
      </c>
      <c r="L2580" t="n">
        <v>0.578</v>
      </c>
      <c r="M2580" t="n">
        <v>0.31</v>
      </c>
    </row>
    <row r="2581" spans="1:13">
      <c r="A2581" s="1">
        <f>HYPERLINK("http://www.twitter.com/NathanBLawrence/status/911424567285075969", "911424567285075969")</f>
        <v/>
      </c>
      <c r="B2581" s="2" t="n">
        <v>43001.12412037037</v>
      </c>
      <c r="C2581" t="n">
        <v>1</v>
      </c>
      <c r="D2581" t="n">
        <v>0</v>
      </c>
      <c r="E2581" t="s">
        <v>2590</v>
      </c>
      <c r="F2581" t="s"/>
      <c r="G2581" t="s"/>
      <c r="H2581" t="s"/>
      <c r="I2581" t="s"/>
      <c r="J2581" t="n">
        <v>-0.4939</v>
      </c>
      <c r="K2581" t="n">
        <v>0.196</v>
      </c>
      <c r="L2581" t="n">
        <v>0.706</v>
      </c>
      <c r="M2581" t="n">
        <v>0.098</v>
      </c>
    </row>
    <row r="2582" spans="1:13">
      <c r="A2582" s="1">
        <f>HYPERLINK("http://www.twitter.com/NathanBLawrence/status/911415038396846080", "911415038396846080")</f>
        <v/>
      </c>
      <c r="B2582" s="2" t="n">
        <v>43001.09783564815</v>
      </c>
      <c r="C2582" t="n">
        <v>4</v>
      </c>
      <c r="D2582" t="n">
        <v>0</v>
      </c>
      <c r="E2582" t="s">
        <v>2591</v>
      </c>
      <c r="F2582" t="s"/>
      <c r="G2582" t="s"/>
      <c r="H2582" t="s"/>
      <c r="I2582" t="s"/>
      <c r="J2582" t="n">
        <v>-0.2755</v>
      </c>
      <c r="K2582" t="n">
        <v>0.117</v>
      </c>
      <c r="L2582" t="n">
        <v>0.883</v>
      </c>
      <c r="M2582" t="n">
        <v>0</v>
      </c>
    </row>
    <row r="2583" spans="1:13">
      <c r="A2583" s="1">
        <f>HYPERLINK("http://www.twitter.com/NathanBLawrence/status/911398555570589696", "911398555570589696")</f>
        <v/>
      </c>
      <c r="B2583" s="2" t="n">
        <v>43001.05234953704</v>
      </c>
      <c r="C2583" t="n">
        <v>0</v>
      </c>
      <c r="D2583" t="n">
        <v>0</v>
      </c>
      <c r="E2583" t="s">
        <v>2592</v>
      </c>
      <c r="F2583" t="s"/>
      <c r="G2583" t="s"/>
      <c r="H2583" t="s"/>
      <c r="I2583" t="s"/>
      <c r="J2583" t="n">
        <v>-0.4939</v>
      </c>
      <c r="K2583" t="n">
        <v>0.378</v>
      </c>
      <c r="L2583" t="n">
        <v>0.449</v>
      </c>
      <c r="M2583" t="n">
        <v>0.173</v>
      </c>
    </row>
    <row r="2584" spans="1:13">
      <c r="A2584" s="1">
        <f>HYPERLINK("http://www.twitter.com/NathanBLawrence/status/911398201848160256", "911398201848160256")</f>
        <v/>
      </c>
      <c r="B2584" s="2" t="n">
        <v>43001.05136574074</v>
      </c>
      <c r="C2584" t="n">
        <v>0</v>
      </c>
      <c r="D2584" t="n">
        <v>0</v>
      </c>
      <c r="E2584" t="s">
        <v>2593</v>
      </c>
      <c r="F2584" t="s"/>
      <c r="G2584" t="s"/>
      <c r="H2584" t="s"/>
      <c r="I2584" t="s"/>
      <c r="J2584" t="n">
        <v>-0.1027</v>
      </c>
      <c r="K2584" t="n">
        <v>0.091</v>
      </c>
      <c r="L2584" t="n">
        <v>0.909</v>
      </c>
      <c r="M2584" t="n">
        <v>0</v>
      </c>
    </row>
    <row r="2585" spans="1:13">
      <c r="A2585" s="1">
        <f>HYPERLINK("http://www.twitter.com/NathanBLawrence/status/911395668287266818", "911395668287266818")</f>
        <v/>
      </c>
      <c r="B2585" s="2" t="n">
        <v>43001.044375</v>
      </c>
      <c r="C2585" t="n">
        <v>0</v>
      </c>
      <c r="D2585" t="n">
        <v>0</v>
      </c>
      <c r="E2585" t="s">
        <v>2594</v>
      </c>
      <c r="F2585" t="s"/>
      <c r="G2585" t="s"/>
      <c r="H2585" t="s"/>
      <c r="I2585" t="s"/>
      <c r="J2585" t="n">
        <v>0</v>
      </c>
      <c r="K2585" t="n">
        <v>0</v>
      </c>
      <c r="L2585" t="n">
        <v>1</v>
      </c>
      <c r="M2585" t="n">
        <v>0</v>
      </c>
    </row>
    <row r="2586" spans="1:13">
      <c r="A2586" s="1">
        <f>HYPERLINK("http://www.twitter.com/NathanBLawrence/status/911357825749864454", "911357825749864454")</f>
        <v/>
      </c>
      <c r="B2586" s="2" t="n">
        <v>43000.9399537037</v>
      </c>
      <c r="C2586" t="n">
        <v>0</v>
      </c>
      <c r="D2586" t="n">
        <v>2</v>
      </c>
      <c r="E2586" t="s">
        <v>2595</v>
      </c>
      <c r="F2586" t="s"/>
      <c r="G2586" t="s"/>
      <c r="H2586" t="s"/>
      <c r="I2586" t="s"/>
      <c r="J2586" t="n">
        <v>0.0258</v>
      </c>
      <c r="K2586" t="n">
        <v>0.237</v>
      </c>
      <c r="L2586" t="n">
        <v>0.519</v>
      </c>
      <c r="M2586" t="n">
        <v>0.244</v>
      </c>
    </row>
    <row r="2587" spans="1:13">
      <c r="A2587" s="1">
        <f>HYPERLINK("http://www.twitter.com/NathanBLawrence/status/911327923319328768", "911327923319328768")</f>
        <v/>
      </c>
      <c r="B2587" s="2" t="n">
        <v>43000.85744212963</v>
      </c>
      <c r="C2587" t="n">
        <v>0</v>
      </c>
      <c r="D2587" t="n">
        <v>2</v>
      </c>
      <c r="E2587" t="s">
        <v>2596</v>
      </c>
      <c r="F2587" t="s"/>
      <c r="G2587" t="s"/>
      <c r="H2587" t="s"/>
      <c r="I2587" t="s"/>
      <c r="J2587" t="n">
        <v>-0.4019</v>
      </c>
      <c r="K2587" t="n">
        <v>0.141</v>
      </c>
      <c r="L2587" t="n">
        <v>0.793</v>
      </c>
      <c r="M2587" t="n">
        <v>0.066</v>
      </c>
    </row>
    <row r="2588" spans="1:13">
      <c r="A2588" s="1">
        <f>HYPERLINK("http://www.twitter.com/NathanBLawrence/status/911320574869278722", "911320574869278722")</f>
        <v/>
      </c>
      <c r="B2588" s="2" t="n">
        <v>43000.83716435185</v>
      </c>
      <c r="C2588" t="n">
        <v>0</v>
      </c>
      <c r="D2588" t="n">
        <v>0</v>
      </c>
      <c r="E2588" t="s">
        <v>2597</v>
      </c>
      <c r="F2588" t="s"/>
      <c r="G2588" t="s"/>
      <c r="H2588" t="s"/>
      <c r="I2588" t="s"/>
      <c r="J2588" t="n">
        <v>-0.9313</v>
      </c>
      <c r="K2588" t="n">
        <v>0.517</v>
      </c>
      <c r="L2588" t="n">
        <v>0.483</v>
      </c>
      <c r="M2588" t="n">
        <v>0</v>
      </c>
    </row>
    <row r="2589" spans="1:13">
      <c r="A2589" s="1">
        <f>HYPERLINK("http://www.twitter.com/NathanBLawrence/status/911319904846073856", "911319904846073856")</f>
        <v/>
      </c>
      <c r="B2589" s="2" t="n">
        <v>43000.8353125</v>
      </c>
      <c r="C2589" t="n">
        <v>0</v>
      </c>
      <c r="D2589" t="n">
        <v>0</v>
      </c>
      <c r="E2589" t="s">
        <v>2598</v>
      </c>
      <c r="F2589" t="s"/>
      <c r="G2589" t="s"/>
      <c r="H2589" t="s"/>
      <c r="I2589" t="s"/>
      <c r="J2589" t="n">
        <v>0</v>
      </c>
      <c r="K2589" t="n">
        <v>0</v>
      </c>
      <c r="L2589" t="n">
        <v>1</v>
      </c>
      <c r="M2589" t="n">
        <v>0</v>
      </c>
    </row>
    <row r="2590" spans="1:13">
      <c r="A2590" s="1">
        <f>HYPERLINK("http://www.twitter.com/NathanBLawrence/status/911318704339681282", "911318704339681282")</f>
        <v/>
      </c>
      <c r="B2590" s="2" t="n">
        <v>43000.83200231481</v>
      </c>
      <c r="C2590" t="n">
        <v>0</v>
      </c>
      <c r="D2590" t="n">
        <v>0</v>
      </c>
      <c r="E2590" t="s">
        <v>2599</v>
      </c>
      <c r="F2590" t="s"/>
      <c r="G2590" t="s"/>
      <c r="H2590" t="s"/>
      <c r="I2590" t="s"/>
      <c r="J2590" t="n">
        <v>-0.6523</v>
      </c>
      <c r="K2590" t="n">
        <v>0.325</v>
      </c>
      <c r="L2590" t="n">
        <v>0.675</v>
      </c>
      <c r="M2590" t="n">
        <v>0</v>
      </c>
    </row>
    <row r="2591" spans="1:13">
      <c r="A2591" s="1">
        <f>HYPERLINK("http://www.twitter.com/NathanBLawrence/status/911318316052074496", "911318316052074496")</f>
        <v/>
      </c>
      <c r="B2591" s="2" t="n">
        <v>43000.83092592593</v>
      </c>
      <c r="C2591" t="n">
        <v>0</v>
      </c>
      <c r="D2591" t="n">
        <v>0</v>
      </c>
      <c r="E2591" t="s">
        <v>2600</v>
      </c>
      <c r="F2591" t="s"/>
      <c r="G2591" t="s"/>
      <c r="H2591" t="s"/>
      <c r="I2591" t="s"/>
      <c r="J2591" t="n">
        <v>0</v>
      </c>
      <c r="K2591" t="n">
        <v>0</v>
      </c>
      <c r="L2591" t="n">
        <v>1</v>
      </c>
      <c r="M2591" t="n">
        <v>0</v>
      </c>
    </row>
    <row r="2592" spans="1:13">
      <c r="A2592" s="1">
        <f>HYPERLINK("http://www.twitter.com/NathanBLawrence/status/911295282360520704", "911295282360520704")</f>
        <v/>
      </c>
      <c r="B2592" s="2" t="n">
        <v>43000.76737268519</v>
      </c>
      <c r="C2592" t="n">
        <v>0</v>
      </c>
      <c r="D2592" t="n">
        <v>0</v>
      </c>
      <c r="E2592" t="s">
        <v>2601</v>
      </c>
      <c r="F2592" t="s"/>
      <c r="G2592" t="s"/>
      <c r="H2592" t="s"/>
      <c r="I2592" t="s"/>
      <c r="J2592" t="n">
        <v>0</v>
      </c>
      <c r="K2592" t="n">
        <v>0</v>
      </c>
      <c r="L2592" t="n">
        <v>1</v>
      </c>
      <c r="M2592" t="n">
        <v>0</v>
      </c>
    </row>
    <row r="2593" spans="1:13">
      <c r="A2593" s="1">
        <f>HYPERLINK("http://www.twitter.com/NathanBLawrence/status/911214723743584256", "911214723743584256")</f>
        <v/>
      </c>
      <c r="B2593" s="2" t="n">
        <v>43000.54506944444</v>
      </c>
      <c r="C2593" t="n">
        <v>1</v>
      </c>
      <c r="D2593" t="n">
        <v>0</v>
      </c>
      <c r="E2593" t="s">
        <v>2602</v>
      </c>
      <c r="F2593" t="s"/>
      <c r="G2593" t="s"/>
      <c r="H2593" t="s"/>
      <c r="I2593" t="s"/>
      <c r="J2593" t="n">
        <v>0.0772</v>
      </c>
      <c r="K2593" t="n">
        <v>0</v>
      </c>
      <c r="L2593" t="n">
        <v>0.925</v>
      </c>
      <c r="M2593" t="n">
        <v>0.075</v>
      </c>
    </row>
    <row r="2594" spans="1:13">
      <c r="A2594" s="1">
        <f>HYPERLINK("http://www.twitter.com/NathanBLawrence/status/911211446364786688", "911211446364786688")</f>
        <v/>
      </c>
      <c r="B2594" s="2" t="n">
        <v>43000.53601851852</v>
      </c>
      <c r="C2594" t="n">
        <v>0</v>
      </c>
      <c r="D2594" t="n">
        <v>0</v>
      </c>
      <c r="E2594" t="s">
        <v>2603</v>
      </c>
      <c r="F2594" t="s"/>
      <c r="G2594" t="s"/>
      <c r="H2594" t="s"/>
      <c r="I2594" t="s"/>
      <c r="J2594" t="n">
        <v>0.4337</v>
      </c>
      <c r="K2594" t="n">
        <v>0.108</v>
      </c>
      <c r="L2594" t="n">
        <v>0.6870000000000001</v>
      </c>
      <c r="M2594" t="n">
        <v>0.206</v>
      </c>
    </row>
    <row r="2595" spans="1:13">
      <c r="A2595" s="1">
        <f>HYPERLINK("http://www.twitter.com/NathanBLawrence/status/911052569291653120", "911052569291653120")</f>
        <v/>
      </c>
      <c r="B2595" s="2" t="n">
        <v>43000.09760416667</v>
      </c>
      <c r="C2595" t="n">
        <v>0</v>
      </c>
      <c r="D2595" t="n">
        <v>0</v>
      </c>
      <c r="E2595" t="s">
        <v>2604</v>
      </c>
      <c r="F2595" t="s"/>
      <c r="G2595" t="s"/>
      <c r="H2595" t="s"/>
      <c r="I2595" t="s"/>
      <c r="J2595" t="n">
        <v>0.25</v>
      </c>
      <c r="K2595" t="n">
        <v>0</v>
      </c>
      <c r="L2595" t="n">
        <v>0.714</v>
      </c>
      <c r="M2595" t="n">
        <v>0.286</v>
      </c>
    </row>
    <row r="2596" spans="1:13">
      <c r="A2596" s="1">
        <f>HYPERLINK("http://www.twitter.com/NathanBLawrence/status/911038529521713152", "911038529521713152")</f>
        <v/>
      </c>
      <c r="B2596" s="2" t="n">
        <v>43000.05886574074</v>
      </c>
      <c r="C2596" t="n">
        <v>0</v>
      </c>
      <c r="D2596" t="n">
        <v>0</v>
      </c>
      <c r="E2596" t="s">
        <v>2605</v>
      </c>
      <c r="F2596" t="s"/>
      <c r="G2596" t="s"/>
      <c r="H2596" t="s"/>
      <c r="I2596" t="s"/>
      <c r="J2596" t="n">
        <v>0</v>
      </c>
      <c r="K2596" t="n">
        <v>0</v>
      </c>
      <c r="L2596" t="n">
        <v>1</v>
      </c>
      <c r="M2596" t="n">
        <v>0</v>
      </c>
    </row>
    <row r="2597" spans="1:13">
      <c r="A2597" s="1">
        <f>HYPERLINK("http://www.twitter.com/NathanBLawrence/status/911014565906976769", "911014565906976769")</f>
        <v/>
      </c>
      <c r="B2597" s="2" t="n">
        <v>42999.99274305555</v>
      </c>
      <c r="C2597" t="n">
        <v>0</v>
      </c>
      <c r="D2597" t="n">
        <v>0</v>
      </c>
      <c r="E2597" t="s">
        <v>2606</v>
      </c>
      <c r="F2597" t="s"/>
      <c r="G2597" t="s"/>
      <c r="H2597" t="s"/>
      <c r="I2597" t="s"/>
      <c r="J2597" t="n">
        <v>0</v>
      </c>
      <c r="K2597" t="n">
        <v>0</v>
      </c>
      <c r="L2597" t="n">
        <v>1</v>
      </c>
      <c r="M2597" t="n">
        <v>0</v>
      </c>
    </row>
    <row r="2598" spans="1:13">
      <c r="A2598" s="1">
        <f>HYPERLINK("http://www.twitter.com/NathanBLawrence/status/910963410157883394", "910963410157883394")</f>
        <v/>
      </c>
      <c r="B2598" s="2" t="n">
        <v>42999.85157407408</v>
      </c>
      <c r="C2598" t="n">
        <v>1</v>
      </c>
      <c r="D2598" t="n">
        <v>0</v>
      </c>
      <c r="E2598" t="s">
        <v>2607</v>
      </c>
      <c r="F2598" t="s"/>
      <c r="G2598" t="s"/>
      <c r="H2598" t="s"/>
      <c r="I2598" t="s"/>
      <c r="J2598" t="n">
        <v>0.1511</v>
      </c>
      <c r="K2598" t="n">
        <v>0</v>
      </c>
      <c r="L2598" t="n">
        <v>0.758</v>
      </c>
      <c r="M2598" t="n">
        <v>0.242</v>
      </c>
    </row>
    <row r="2599" spans="1:13">
      <c r="A2599" s="1">
        <f>HYPERLINK("http://www.twitter.com/NathanBLawrence/status/910902333416132608", "910902333416132608")</f>
        <v/>
      </c>
      <c r="B2599" s="2" t="n">
        <v>42999.68303240741</v>
      </c>
      <c r="C2599" t="n">
        <v>0</v>
      </c>
      <c r="D2599" t="n">
        <v>1</v>
      </c>
      <c r="E2599" t="s">
        <v>2608</v>
      </c>
      <c r="F2599">
        <f>HYPERLINK("http://pbs.twimg.com/media/DKQp4a_VwAEw8C3.jpg", "http://pbs.twimg.com/media/DKQp4a_VwAEw8C3.jpg")</f>
        <v/>
      </c>
      <c r="G2599" t="s"/>
      <c r="H2599" t="s"/>
      <c r="I2599" t="s"/>
      <c r="J2599" t="n">
        <v>0</v>
      </c>
      <c r="K2599" t="n">
        <v>0</v>
      </c>
      <c r="L2599" t="n">
        <v>1</v>
      </c>
      <c r="M2599" t="n">
        <v>0</v>
      </c>
    </row>
    <row r="2600" spans="1:13">
      <c r="A2600" s="1">
        <f>HYPERLINK("http://www.twitter.com/NathanBLawrence/status/910875998685745152", "910875998685745152")</f>
        <v/>
      </c>
      <c r="B2600" s="2" t="n">
        <v>42999.61037037037</v>
      </c>
      <c r="C2600" t="n">
        <v>0</v>
      </c>
      <c r="D2600" t="n">
        <v>0</v>
      </c>
      <c r="E2600" t="s">
        <v>2609</v>
      </c>
      <c r="F2600" t="s"/>
      <c r="G2600" t="s"/>
      <c r="H2600" t="s"/>
      <c r="I2600" t="s"/>
      <c r="J2600" t="n">
        <v>0</v>
      </c>
      <c r="K2600" t="n">
        <v>0</v>
      </c>
      <c r="L2600" t="n">
        <v>1</v>
      </c>
      <c r="M2600" t="n">
        <v>0</v>
      </c>
    </row>
    <row r="2601" spans="1:13">
      <c r="A2601" s="1">
        <f>HYPERLINK("http://www.twitter.com/NathanBLawrence/status/910666609500540928", "910666609500540928")</f>
        <v/>
      </c>
      <c r="B2601" s="2" t="n">
        <v>42999.03255787037</v>
      </c>
      <c r="C2601" t="n">
        <v>0</v>
      </c>
      <c r="D2601" t="n">
        <v>0</v>
      </c>
      <c r="E2601" t="s">
        <v>2610</v>
      </c>
      <c r="F2601" t="s"/>
      <c r="G2601" t="s"/>
      <c r="H2601" t="s"/>
      <c r="I2601" t="s"/>
      <c r="J2601" t="n">
        <v>0</v>
      </c>
      <c r="K2601" t="n">
        <v>0</v>
      </c>
      <c r="L2601" t="n">
        <v>1</v>
      </c>
      <c r="M2601" t="n">
        <v>0</v>
      </c>
    </row>
    <row r="2602" spans="1:13">
      <c r="A2602" s="1">
        <f>HYPERLINK("http://www.twitter.com/NathanBLawrence/status/910643618674888704", "910643618674888704")</f>
        <v/>
      </c>
      <c r="B2602" s="2" t="n">
        <v>42998.96912037037</v>
      </c>
      <c r="C2602" t="n">
        <v>0</v>
      </c>
      <c r="D2602" t="n">
        <v>0</v>
      </c>
      <c r="E2602" t="s">
        <v>2611</v>
      </c>
      <c r="F2602" t="s"/>
      <c r="G2602" t="s"/>
      <c r="H2602" t="s"/>
      <c r="I2602" t="s"/>
      <c r="J2602" t="n">
        <v>0</v>
      </c>
      <c r="K2602" t="n">
        <v>0</v>
      </c>
      <c r="L2602" t="n">
        <v>1</v>
      </c>
      <c r="M2602" t="n">
        <v>0</v>
      </c>
    </row>
    <row r="2603" spans="1:13">
      <c r="A2603" s="1">
        <f>HYPERLINK("http://www.twitter.com/NathanBLawrence/status/910583983297191937", "910583983297191937")</f>
        <v/>
      </c>
      <c r="B2603" s="2" t="n">
        <v>42998.80456018518</v>
      </c>
      <c r="C2603" t="n">
        <v>0</v>
      </c>
      <c r="D2603" t="n">
        <v>0</v>
      </c>
      <c r="E2603" t="s">
        <v>2612</v>
      </c>
      <c r="F2603" t="s"/>
      <c r="G2603" t="s"/>
      <c r="H2603" t="s"/>
      <c r="I2603" t="s"/>
      <c r="J2603" t="n">
        <v>-0.8270999999999999</v>
      </c>
      <c r="K2603" t="n">
        <v>0.435</v>
      </c>
      <c r="L2603" t="n">
        <v>0.5649999999999999</v>
      </c>
      <c r="M2603" t="n">
        <v>0</v>
      </c>
    </row>
    <row r="2604" spans="1:13">
      <c r="A2604" s="1">
        <f>HYPERLINK("http://www.twitter.com/NathanBLawrence/status/910565593228734466", "910565593228734466")</f>
        <v/>
      </c>
      <c r="B2604" s="2" t="n">
        <v>42998.75380787037</v>
      </c>
      <c r="C2604" t="n">
        <v>0</v>
      </c>
      <c r="D2604" t="n">
        <v>0</v>
      </c>
      <c r="E2604" t="s">
        <v>2613</v>
      </c>
      <c r="F2604" t="s"/>
      <c r="G2604" t="s"/>
      <c r="H2604" t="s"/>
      <c r="I2604" t="s"/>
      <c r="J2604" t="n">
        <v>0</v>
      </c>
      <c r="K2604" t="n">
        <v>0</v>
      </c>
      <c r="L2604" t="n">
        <v>1</v>
      </c>
      <c r="M2604" t="n">
        <v>0</v>
      </c>
    </row>
    <row r="2605" spans="1:13">
      <c r="A2605" s="1">
        <f>HYPERLINK("http://www.twitter.com/NathanBLawrence/status/910482828101636098", "910482828101636098")</f>
        <v/>
      </c>
      <c r="B2605" s="2" t="n">
        <v>42998.52541666666</v>
      </c>
      <c r="C2605" t="n">
        <v>1</v>
      </c>
      <c r="D2605" t="n">
        <v>0</v>
      </c>
      <c r="E2605" t="s">
        <v>2614</v>
      </c>
      <c r="F2605" t="s"/>
      <c r="G2605" t="s"/>
      <c r="H2605" t="s"/>
      <c r="I2605" t="s"/>
      <c r="J2605" t="n">
        <v>0</v>
      </c>
      <c r="K2605" t="n">
        <v>0</v>
      </c>
      <c r="L2605" t="n">
        <v>1</v>
      </c>
      <c r="M2605" t="n">
        <v>0</v>
      </c>
    </row>
    <row r="2606" spans="1:13">
      <c r="A2606" s="1">
        <f>HYPERLINK("http://www.twitter.com/NathanBLawrence/status/910482314911780864", "910482314911780864")</f>
        <v/>
      </c>
      <c r="B2606" s="2" t="n">
        <v>42998.52400462963</v>
      </c>
      <c r="C2606" t="n">
        <v>1</v>
      </c>
      <c r="D2606" t="n">
        <v>0</v>
      </c>
      <c r="E2606" t="s">
        <v>2615</v>
      </c>
      <c r="F2606" t="s"/>
      <c r="G2606" t="s"/>
      <c r="H2606" t="s"/>
      <c r="I2606" t="s"/>
      <c r="J2606" t="n">
        <v>0.899</v>
      </c>
      <c r="K2606" t="n">
        <v>0</v>
      </c>
      <c r="L2606" t="n">
        <v>0.668</v>
      </c>
      <c r="M2606" t="n">
        <v>0.332</v>
      </c>
    </row>
    <row r="2607" spans="1:13">
      <c r="A2607" s="1">
        <f>HYPERLINK("http://www.twitter.com/NathanBLawrence/status/910350160261206019", "910350160261206019")</f>
        <v/>
      </c>
      <c r="B2607" s="2" t="n">
        <v>42998.1593287037</v>
      </c>
      <c r="C2607" t="n">
        <v>1</v>
      </c>
      <c r="D2607" t="n">
        <v>0</v>
      </c>
      <c r="E2607" t="s">
        <v>2616</v>
      </c>
      <c r="F2607" t="s"/>
      <c r="G2607" t="s"/>
      <c r="H2607" t="s"/>
      <c r="I2607" t="s"/>
      <c r="J2607" t="n">
        <v>0.3818</v>
      </c>
      <c r="K2607" t="n">
        <v>0</v>
      </c>
      <c r="L2607" t="n">
        <v>0.8090000000000001</v>
      </c>
      <c r="M2607" t="n">
        <v>0.191</v>
      </c>
    </row>
    <row r="2608" spans="1:13">
      <c r="A2608" s="1">
        <f>HYPERLINK("http://www.twitter.com/NathanBLawrence/status/910340223506231296", "910340223506231296")</f>
        <v/>
      </c>
      <c r="B2608" s="2" t="n">
        <v>42998.13190972222</v>
      </c>
      <c r="C2608" t="n">
        <v>0</v>
      </c>
      <c r="D2608" t="n">
        <v>0</v>
      </c>
      <c r="E2608" t="s">
        <v>2617</v>
      </c>
      <c r="F2608" t="s"/>
      <c r="G2608" t="s"/>
      <c r="H2608" t="s"/>
      <c r="I2608" t="s"/>
      <c r="J2608" t="n">
        <v>0.6124000000000001</v>
      </c>
      <c r="K2608" t="n">
        <v>0</v>
      </c>
      <c r="L2608" t="n">
        <v>0.737</v>
      </c>
      <c r="M2608" t="n">
        <v>0.263</v>
      </c>
    </row>
    <row r="2609" spans="1:13">
      <c r="A2609" s="1">
        <f>HYPERLINK("http://www.twitter.com/NathanBLawrence/status/910313537268064256", "910313537268064256")</f>
        <v/>
      </c>
      <c r="B2609" s="2" t="n">
        <v>42998.05826388889</v>
      </c>
      <c r="C2609" t="n">
        <v>0</v>
      </c>
      <c r="D2609" t="n">
        <v>0</v>
      </c>
      <c r="E2609" t="s">
        <v>2618</v>
      </c>
      <c r="F2609" t="s"/>
      <c r="G2609" t="s"/>
      <c r="H2609" t="s"/>
      <c r="I2609" t="s"/>
      <c r="J2609" t="n">
        <v>0.5423</v>
      </c>
      <c r="K2609" t="n">
        <v>0</v>
      </c>
      <c r="L2609" t="n">
        <v>0.471</v>
      </c>
      <c r="M2609" t="n">
        <v>0.529</v>
      </c>
    </row>
    <row r="2610" spans="1:13">
      <c r="A2610" s="1">
        <f>HYPERLINK("http://www.twitter.com/NathanBLawrence/status/910277052053549057", "910277052053549057")</f>
        <v/>
      </c>
      <c r="B2610" s="2" t="n">
        <v>42997.95758101852</v>
      </c>
      <c r="C2610" t="n">
        <v>3</v>
      </c>
      <c r="D2610" t="n">
        <v>0</v>
      </c>
      <c r="E2610" t="s">
        <v>2619</v>
      </c>
      <c r="F2610" t="s"/>
      <c r="G2610" t="s"/>
      <c r="H2610" t="s"/>
      <c r="I2610" t="s"/>
      <c r="J2610" t="n">
        <v>0.6124000000000001</v>
      </c>
      <c r="K2610" t="n">
        <v>0.055</v>
      </c>
      <c r="L2610" t="n">
        <v>0.72</v>
      </c>
      <c r="M2610" t="n">
        <v>0.225</v>
      </c>
    </row>
    <row r="2611" spans="1:13">
      <c r="A2611" s="1">
        <f>HYPERLINK("http://www.twitter.com/NathanBLawrence/status/910210499542966274", "910210499542966274")</f>
        <v/>
      </c>
      <c r="B2611" s="2" t="n">
        <v>42997.77393518519</v>
      </c>
      <c r="C2611" t="n">
        <v>0</v>
      </c>
      <c r="D2611" t="n">
        <v>0</v>
      </c>
      <c r="E2611" t="s">
        <v>2620</v>
      </c>
      <c r="F2611" t="s"/>
      <c r="G2611" t="s"/>
      <c r="H2611" t="s"/>
      <c r="I2611" t="s"/>
      <c r="J2611" t="n">
        <v>0.4215</v>
      </c>
      <c r="K2611" t="n">
        <v>0</v>
      </c>
      <c r="L2611" t="n">
        <v>0.741</v>
      </c>
      <c r="M2611" t="n">
        <v>0.259</v>
      </c>
    </row>
    <row r="2612" spans="1:13">
      <c r="A2612" s="1">
        <f>HYPERLINK("http://www.twitter.com/NathanBLawrence/status/910202046711771137", "910202046711771137")</f>
        <v/>
      </c>
      <c r="B2612" s="2" t="n">
        <v>42997.75061342592</v>
      </c>
      <c r="C2612" t="n">
        <v>1</v>
      </c>
      <c r="D2612" t="n">
        <v>0</v>
      </c>
      <c r="E2612" t="s">
        <v>2621</v>
      </c>
      <c r="F2612" t="s"/>
      <c r="G2612" t="s"/>
      <c r="H2612" t="s"/>
      <c r="I2612" t="s"/>
      <c r="J2612" t="n">
        <v>-0.0572</v>
      </c>
      <c r="K2612" t="n">
        <v>0.1</v>
      </c>
      <c r="L2612" t="n">
        <v>0.9</v>
      </c>
      <c r="M2612" t="n">
        <v>0</v>
      </c>
    </row>
    <row r="2613" spans="1:13">
      <c r="A2613" s="1">
        <f>HYPERLINK("http://www.twitter.com/NathanBLawrence/status/910185643929690114", "910185643929690114")</f>
        <v/>
      </c>
      <c r="B2613" s="2" t="n">
        <v>42997.70534722223</v>
      </c>
      <c r="C2613" t="n">
        <v>1</v>
      </c>
      <c r="D2613" t="n">
        <v>0</v>
      </c>
      <c r="E2613" t="s">
        <v>2622</v>
      </c>
      <c r="F2613" t="s"/>
      <c r="G2613" t="s"/>
      <c r="H2613" t="s"/>
      <c r="I2613" t="s"/>
      <c r="J2613" t="n">
        <v>0.7502</v>
      </c>
      <c r="K2613" t="n">
        <v>0</v>
      </c>
      <c r="L2613" t="n">
        <v>0.767</v>
      </c>
      <c r="M2613" t="n">
        <v>0.233</v>
      </c>
    </row>
    <row r="2614" spans="1:13">
      <c r="A2614" s="1">
        <f>HYPERLINK("http://www.twitter.com/NathanBLawrence/status/910155597999480832", "910155597999480832")</f>
        <v/>
      </c>
      <c r="B2614" s="2" t="n">
        <v>42997.62244212963</v>
      </c>
      <c r="C2614" t="n">
        <v>0</v>
      </c>
      <c r="D2614" t="n">
        <v>102</v>
      </c>
      <c r="E2614" t="s">
        <v>2623</v>
      </c>
      <c r="F2614" t="s"/>
      <c r="G2614" t="s"/>
      <c r="H2614" t="s"/>
      <c r="I2614" t="s"/>
      <c r="J2614" t="n">
        <v>0.4215</v>
      </c>
      <c r="K2614" t="n">
        <v>0</v>
      </c>
      <c r="L2614" t="n">
        <v>0.859</v>
      </c>
      <c r="M2614" t="n">
        <v>0.141</v>
      </c>
    </row>
    <row r="2615" spans="1:13">
      <c r="A2615" s="1">
        <f>HYPERLINK("http://www.twitter.com/NathanBLawrence/status/910148216909389824", "910148216909389824")</f>
        <v/>
      </c>
      <c r="B2615" s="2" t="n">
        <v>42997.60207175926</v>
      </c>
      <c r="C2615" t="n">
        <v>0</v>
      </c>
      <c r="D2615" t="n">
        <v>0</v>
      </c>
      <c r="E2615" t="s">
        <v>2624</v>
      </c>
      <c r="F2615" t="s"/>
      <c r="G2615" t="s"/>
      <c r="H2615" t="s"/>
      <c r="I2615" t="s"/>
      <c r="J2615" t="n">
        <v>0</v>
      </c>
      <c r="K2615" t="n">
        <v>0</v>
      </c>
      <c r="L2615" t="n">
        <v>1</v>
      </c>
      <c r="M2615" t="n">
        <v>0</v>
      </c>
    </row>
    <row r="2616" spans="1:13">
      <c r="A2616" s="1">
        <f>HYPERLINK("http://www.twitter.com/NathanBLawrence/status/910146311852318721", "910146311852318721")</f>
        <v/>
      </c>
      <c r="B2616" s="2" t="n">
        <v>42997.59681712963</v>
      </c>
      <c r="C2616" t="n">
        <v>0</v>
      </c>
      <c r="D2616" t="n">
        <v>8</v>
      </c>
      <c r="E2616" t="s">
        <v>2625</v>
      </c>
      <c r="F2616" t="s"/>
      <c r="G2616" t="s"/>
      <c r="H2616" t="s"/>
      <c r="I2616" t="s"/>
      <c r="J2616" t="n">
        <v>0.4215</v>
      </c>
      <c r="K2616" t="n">
        <v>0</v>
      </c>
      <c r="L2616" t="n">
        <v>0.859</v>
      </c>
      <c r="M2616" t="n">
        <v>0.141</v>
      </c>
    </row>
    <row r="2617" spans="1:13">
      <c r="A2617" s="1">
        <f>HYPERLINK("http://www.twitter.com/NathanBLawrence/status/910123485980217345", "910123485980217345")</f>
        <v/>
      </c>
      <c r="B2617" s="2" t="n">
        <v>42997.53381944444</v>
      </c>
      <c r="C2617" t="n">
        <v>2</v>
      </c>
      <c r="D2617" t="n">
        <v>1</v>
      </c>
      <c r="E2617" t="s">
        <v>2626</v>
      </c>
      <c r="F2617" t="s"/>
      <c r="G2617" t="s"/>
      <c r="H2617" t="s"/>
      <c r="I2617" t="s"/>
      <c r="J2617" t="n">
        <v>0</v>
      </c>
      <c r="K2617" t="n">
        <v>0</v>
      </c>
      <c r="L2617" t="n">
        <v>1</v>
      </c>
      <c r="M2617" t="n">
        <v>0</v>
      </c>
    </row>
    <row r="2618" spans="1:13">
      <c r="A2618" s="1">
        <f>HYPERLINK("http://www.twitter.com/NathanBLawrence/status/910116130118881281", "910116130118881281")</f>
        <v/>
      </c>
      <c r="B2618" s="2" t="n">
        <v>42997.51353009259</v>
      </c>
      <c r="C2618" t="n">
        <v>1</v>
      </c>
      <c r="D2618" t="n">
        <v>0</v>
      </c>
      <c r="E2618" t="s">
        <v>2627</v>
      </c>
      <c r="F2618" t="s"/>
      <c r="G2618" t="s"/>
      <c r="H2618" t="s"/>
      <c r="I2618" t="s"/>
      <c r="J2618" t="n">
        <v>0.4019</v>
      </c>
      <c r="K2618" t="n">
        <v>0</v>
      </c>
      <c r="L2618" t="n">
        <v>0.748</v>
      </c>
      <c r="M2618" t="n">
        <v>0.252</v>
      </c>
    </row>
    <row r="2619" spans="1:13">
      <c r="A2619" s="1">
        <f>HYPERLINK("http://www.twitter.com/NathanBLawrence/status/910087899114328065", "910087899114328065")</f>
        <v/>
      </c>
      <c r="B2619" s="2" t="n">
        <v>42997.435625</v>
      </c>
      <c r="C2619" t="n">
        <v>0</v>
      </c>
      <c r="D2619" t="n">
        <v>0</v>
      </c>
      <c r="E2619" t="s">
        <v>2628</v>
      </c>
      <c r="F2619" t="s"/>
      <c r="G2619" t="s"/>
      <c r="H2619" t="s"/>
      <c r="I2619" t="s"/>
      <c r="J2619" t="n">
        <v>-0.2263</v>
      </c>
      <c r="K2619" t="n">
        <v>0.266</v>
      </c>
      <c r="L2619" t="n">
        <v>0.506</v>
      </c>
      <c r="M2619" t="n">
        <v>0.228</v>
      </c>
    </row>
    <row r="2620" spans="1:13">
      <c r="A2620" s="1">
        <f>HYPERLINK("http://www.twitter.com/NathanBLawrence/status/909976175342219264", "909976175342219264")</f>
        <v/>
      </c>
      <c r="B2620" s="2" t="n">
        <v>42997.12732638889</v>
      </c>
      <c r="C2620" t="n">
        <v>5</v>
      </c>
      <c r="D2620" t="n">
        <v>0</v>
      </c>
      <c r="E2620" t="s">
        <v>2629</v>
      </c>
      <c r="F2620" t="s"/>
      <c r="G2620" t="s"/>
      <c r="H2620" t="s"/>
      <c r="I2620" t="s"/>
      <c r="J2620" t="n">
        <v>0</v>
      </c>
      <c r="K2620" t="n">
        <v>0</v>
      </c>
      <c r="L2620" t="n">
        <v>1</v>
      </c>
      <c r="M2620" t="n">
        <v>0</v>
      </c>
    </row>
    <row r="2621" spans="1:13">
      <c r="A2621" s="1">
        <f>HYPERLINK("http://www.twitter.com/NathanBLawrence/status/909962396155940866", "909962396155940866")</f>
        <v/>
      </c>
      <c r="B2621" s="2" t="n">
        <v>42997.08930555556</v>
      </c>
      <c r="C2621" t="n">
        <v>0</v>
      </c>
      <c r="D2621" t="n">
        <v>0</v>
      </c>
      <c r="E2621" t="s">
        <v>2630</v>
      </c>
      <c r="F2621" t="s"/>
      <c r="G2621" t="s"/>
      <c r="H2621" t="s"/>
      <c r="I2621" t="s"/>
      <c r="J2621" t="n">
        <v>-0.5266999999999999</v>
      </c>
      <c r="K2621" t="n">
        <v>0.468</v>
      </c>
      <c r="L2621" t="n">
        <v>0.532</v>
      </c>
      <c r="M2621" t="n">
        <v>0</v>
      </c>
    </row>
    <row r="2622" spans="1:13">
      <c r="A2622" s="1">
        <f>HYPERLINK("http://www.twitter.com/NathanBLawrence/status/909818090170568704", "909818090170568704")</f>
        <v/>
      </c>
      <c r="B2622" s="2" t="n">
        <v>42996.69108796296</v>
      </c>
      <c r="C2622" t="n">
        <v>0</v>
      </c>
      <c r="D2622" t="n">
        <v>0</v>
      </c>
      <c r="E2622" t="s">
        <v>2631</v>
      </c>
      <c r="F2622" t="s"/>
      <c r="G2622" t="s"/>
      <c r="H2622" t="s"/>
      <c r="I2622" t="s"/>
      <c r="J2622" t="n">
        <v>0.4019</v>
      </c>
      <c r="K2622" t="n">
        <v>0</v>
      </c>
      <c r="L2622" t="n">
        <v>0.881</v>
      </c>
      <c r="M2622" t="n">
        <v>0.119</v>
      </c>
    </row>
    <row r="2623" spans="1:13">
      <c r="A2623" s="1">
        <f>HYPERLINK("http://www.twitter.com/NathanBLawrence/status/909816163818983424", "909816163818983424")</f>
        <v/>
      </c>
      <c r="B2623" s="2" t="n">
        <v>42996.68577546296</v>
      </c>
      <c r="C2623" t="n">
        <v>0</v>
      </c>
      <c r="D2623" t="n">
        <v>2075</v>
      </c>
      <c r="E2623" t="s">
        <v>2632</v>
      </c>
      <c r="F2623" t="s"/>
      <c r="G2623" t="s"/>
      <c r="H2623" t="s"/>
      <c r="I2623" t="s"/>
      <c r="J2623" t="n">
        <v>0.4588</v>
      </c>
      <c r="K2623" t="n">
        <v>0.119</v>
      </c>
      <c r="L2623" t="n">
        <v>0.662</v>
      </c>
      <c r="M2623" t="n">
        <v>0.219</v>
      </c>
    </row>
    <row r="2624" spans="1:13">
      <c r="A2624" s="1">
        <f>HYPERLINK("http://www.twitter.com/NathanBLawrence/status/909798647814115328", "909798647814115328")</f>
        <v/>
      </c>
      <c r="B2624" s="2" t="n">
        <v>42996.63744212963</v>
      </c>
      <c r="C2624" t="n">
        <v>0</v>
      </c>
      <c r="D2624" t="n">
        <v>0</v>
      </c>
      <c r="E2624" t="s">
        <v>2633</v>
      </c>
      <c r="F2624" t="s"/>
      <c r="G2624" t="s"/>
      <c r="H2624" t="s"/>
      <c r="I2624" t="s"/>
      <c r="J2624" t="n">
        <v>0.296</v>
      </c>
      <c r="K2624" t="n">
        <v>0</v>
      </c>
      <c r="L2624" t="n">
        <v>0.833</v>
      </c>
      <c r="M2624" t="n">
        <v>0.167</v>
      </c>
    </row>
    <row r="2625" spans="1:13">
      <c r="A2625" s="1">
        <f>HYPERLINK("http://www.twitter.com/NathanBLawrence/status/909761069337518080", "909761069337518080")</f>
        <v/>
      </c>
      <c r="B2625" s="2" t="n">
        <v>42996.53375</v>
      </c>
      <c r="C2625" t="n">
        <v>0</v>
      </c>
      <c r="D2625" t="n">
        <v>0</v>
      </c>
      <c r="E2625" t="s">
        <v>2634</v>
      </c>
      <c r="F2625" t="s"/>
      <c r="G2625" t="s"/>
      <c r="H2625" t="s"/>
      <c r="I2625" t="s"/>
      <c r="J2625" t="n">
        <v>-0.296</v>
      </c>
      <c r="K2625" t="n">
        <v>0.115</v>
      </c>
      <c r="L2625" t="n">
        <v>0.885</v>
      </c>
      <c r="M2625" t="n">
        <v>0</v>
      </c>
    </row>
    <row r="2626" spans="1:13">
      <c r="A2626" s="1">
        <f>HYPERLINK("http://www.twitter.com/NathanBLawrence/status/909607965967208448", "909607965967208448")</f>
        <v/>
      </c>
      <c r="B2626" s="2" t="n">
        <v>42996.11126157407</v>
      </c>
      <c r="C2626" t="n">
        <v>0</v>
      </c>
      <c r="D2626" t="n">
        <v>0</v>
      </c>
      <c r="E2626" t="s">
        <v>2635</v>
      </c>
      <c r="F2626" t="s"/>
      <c r="G2626" t="s"/>
      <c r="H2626" t="s"/>
      <c r="I2626" t="s"/>
      <c r="J2626" t="n">
        <v>0.4588</v>
      </c>
      <c r="K2626" t="n">
        <v>0</v>
      </c>
      <c r="L2626" t="n">
        <v>0.25</v>
      </c>
      <c r="M2626" t="n">
        <v>0.75</v>
      </c>
    </row>
    <row r="2627" spans="1:13">
      <c r="A2627" s="1">
        <f>HYPERLINK("http://www.twitter.com/NathanBLawrence/status/909607852100259840", "909607852100259840")</f>
        <v/>
      </c>
      <c r="B2627" s="2" t="n">
        <v>42996.11094907407</v>
      </c>
      <c r="C2627" t="n">
        <v>0</v>
      </c>
      <c r="D2627" t="n">
        <v>0</v>
      </c>
      <c r="E2627" t="s">
        <v>2636</v>
      </c>
      <c r="F2627" t="s"/>
      <c r="G2627" t="s"/>
      <c r="H2627" t="s"/>
      <c r="I2627" t="s"/>
      <c r="J2627" t="n">
        <v>0</v>
      </c>
      <c r="K2627" t="n">
        <v>0</v>
      </c>
      <c r="L2627" t="n">
        <v>1</v>
      </c>
      <c r="M2627" t="n">
        <v>0</v>
      </c>
    </row>
    <row r="2628" spans="1:13">
      <c r="A2628" s="1">
        <f>HYPERLINK("http://www.twitter.com/NathanBLawrence/status/909568279143960577", "909568279143960577")</f>
        <v/>
      </c>
      <c r="B2628" s="2" t="n">
        <v>42996.00174768519</v>
      </c>
      <c r="C2628" t="n">
        <v>1</v>
      </c>
      <c r="D2628" t="n">
        <v>1</v>
      </c>
      <c r="E2628" t="s">
        <v>2637</v>
      </c>
      <c r="F2628" t="s"/>
      <c r="G2628" t="s"/>
      <c r="H2628" t="s"/>
      <c r="I2628" t="s"/>
      <c r="J2628" t="n">
        <v>-0.25</v>
      </c>
      <c r="K2628" t="n">
        <v>0.4</v>
      </c>
      <c r="L2628" t="n">
        <v>0.6</v>
      </c>
      <c r="M2628" t="n">
        <v>0</v>
      </c>
    </row>
    <row r="2629" spans="1:13">
      <c r="A2629" s="1">
        <f>HYPERLINK("http://www.twitter.com/NathanBLawrence/status/909537139033038848", "909537139033038848")</f>
        <v/>
      </c>
      <c r="B2629" s="2" t="n">
        <v>42995.91581018519</v>
      </c>
      <c r="C2629" t="n">
        <v>0</v>
      </c>
      <c r="D2629" t="n">
        <v>0</v>
      </c>
      <c r="E2629" t="s">
        <v>2638</v>
      </c>
      <c r="F2629" t="s"/>
      <c r="G2629" t="s"/>
      <c r="H2629" t="s"/>
      <c r="I2629" t="s"/>
      <c r="J2629" t="n">
        <v>0.7003</v>
      </c>
      <c r="K2629" t="n">
        <v>0</v>
      </c>
      <c r="L2629" t="n">
        <v>0.463</v>
      </c>
      <c r="M2629" t="n">
        <v>0.537</v>
      </c>
    </row>
    <row r="2630" spans="1:13">
      <c r="A2630" s="1">
        <f>HYPERLINK("http://www.twitter.com/NathanBLawrence/status/909468836981821441", "909468836981821441")</f>
        <v/>
      </c>
      <c r="B2630" s="2" t="n">
        <v>42995.72733796296</v>
      </c>
      <c r="C2630" t="n">
        <v>0</v>
      </c>
      <c r="D2630" t="n">
        <v>0</v>
      </c>
      <c r="E2630" t="s">
        <v>2639</v>
      </c>
      <c r="F2630" t="s"/>
      <c r="G2630" t="s"/>
      <c r="H2630" t="s"/>
      <c r="I2630" t="s"/>
      <c r="J2630" t="n">
        <v>0</v>
      </c>
      <c r="K2630" t="n">
        <v>0</v>
      </c>
      <c r="L2630" t="n">
        <v>1</v>
      </c>
      <c r="M2630" t="n">
        <v>0</v>
      </c>
    </row>
    <row r="2631" spans="1:13">
      <c r="A2631" s="1">
        <f>HYPERLINK("http://www.twitter.com/NathanBLawrence/status/909447858688086017", "909447858688086017")</f>
        <v/>
      </c>
      <c r="B2631" s="2" t="n">
        <v>42995.66944444444</v>
      </c>
      <c r="C2631" t="n">
        <v>0</v>
      </c>
      <c r="D2631" t="n">
        <v>0</v>
      </c>
      <c r="E2631" t="s">
        <v>2640</v>
      </c>
      <c r="F2631" t="s"/>
      <c r="G2631" t="s"/>
      <c r="H2631" t="s"/>
      <c r="I2631" t="s"/>
      <c r="J2631" t="n">
        <v>0.7351</v>
      </c>
      <c r="K2631" t="n">
        <v>0</v>
      </c>
      <c r="L2631" t="n">
        <v>0.6929999999999999</v>
      </c>
      <c r="M2631" t="n">
        <v>0.307</v>
      </c>
    </row>
    <row r="2632" spans="1:13">
      <c r="A2632" s="1">
        <f>HYPERLINK("http://www.twitter.com/NathanBLawrence/status/909447286110990338", "909447286110990338")</f>
        <v/>
      </c>
      <c r="B2632" s="2" t="n">
        <v>42995.66787037037</v>
      </c>
      <c r="C2632" t="n">
        <v>0</v>
      </c>
      <c r="D2632" t="n">
        <v>378619</v>
      </c>
      <c r="E2632" t="s">
        <v>2641</v>
      </c>
      <c r="F2632">
        <f>HYPERLINK("https://video.twimg.com/ext_tw_video/909119894179930112/pu/vid/720x1280/AI4BcYo9j9giPC3J.mp4", "https://video.twimg.com/ext_tw_video/909119894179930112/pu/vid/720x1280/AI4BcYo9j9giPC3J.mp4")</f>
        <v/>
      </c>
      <c r="G2632" t="s"/>
      <c r="H2632" t="s"/>
      <c r="I2632" t="s"/>
      <c r="J2632" t="n">
        <v>0.6808</v>
      </c>
      <c r="K2632" t="n">
        <v>0</v>
      </c>
      <c r="L2632" t="n">
        <v>0.663</v>
      </c>
      <c r="M2632" t="n">
        <v>0.337</v>
      </c>
    </row>
    <row r="2633" spans="1:13">
      <c r="A2633" s="1">
        <f>HYPERLINK("http://www.twitter.com/NathanBLawrence/status/909446768076652546", "909446768076652546")</f>
        <v/>
      </c>
      <c r="B2633" s="2" t="n">
        <v>42995.66643518519</v>
      </c>
      <c r="C2633" t="n">
        <v>0</v>
      </c>
      <c r="D2633" t="n">
        <v>0</v>
      </c>
      <c r="E2633" t="s">
        <v>2642</v>
      </c>
      <c r="F2633" t="s"/>
      <c r="G2633" t="s"/>
      <c r="H2633" t="s"/>
      <c r="I2633" t="s"/>
      <c r="J2633" t="n">
        <v>0.5538</v>
      </c>
      <c r="K2633" t="n">
        <v>0</v>
      </c>
      <c r="L2633" t="n">
        <v>0.77</v>
      </c>
      <c r="M2633" t="n">
        <v>0.23</v>
      </c>
    </row>
    <row r="2634" spans="1:13">
      <c r="A2634" s="1">
        <f>HYPERLINK("http://www.twitter.com/NathanBLawrence/status/909443423224188928", "909443423224188928")</f>
        <v/>
      </c>
      <c r="B2634" s="2" t="n">
        <v>42995.65721064815</v>
      </c>
      <c r="C2634" t="n">
        <v>0</v>
      </c>
      <c r="D2634" t="n">
        <v>9664</v>
      </c>
      <c r="E2634" t="s">
        <v>2643</v>
      </c>
      <c r="F2634" t="s"/>
      <c r="G2634" t="s"/>
      <c r="H2634" t="s"/>
      <c r="I2634" t="s"/>
      <c r="J2634" t="n">
        <v>0.4157</v>
      </c>
      <c r="K2634" t="n">
        <v>0.163</v>
      </c>
      <c r="L2634" t="n">
        <v>0.617</v>
      </c>
      <c r="M2634" t="n">
        <v>0.22</v>
      </c>
    </row>
    <row r="2635" spans="1:13">
      <c r="A2635" s="1">
        <f>HYPERLINK("http://www.twitter.com/NathanBLawrence/status/909253384053682176", "909253384053682176")</f>
        <v/>
      </c>
      <c r="B2635" s="2" t="n">
        <v>42995.13280092592</v>
      </c>
      <c r="C2635" t="n">
        <v>0</v>
      </c>
      <c r="D2635" t="n">
        <v>3</v>
      </c>
      <c r="E2635" t="s">
        <v>2644</v>
      </c>
      <c r="F2635" t="s"/>
      <c r="G2635" t="s"/>
      <c r="H2635" t="s"/>
      <c r="I2635" t="s"/>
      <c r="J2635" t="n">
        <v>-0.5574</v>
      </c>
      <c r="K2635" t="n">
        <v>0.184</v>
      </c>
      <c r="L2635" t="n">
        <v>0.8159999999999999</v>
      </c>
      <c r="M2635" t="n">
        <v>0</v>
      </c>
    </row>
    <row r="2636" spans="1:13">
      <c r="A2636" s="1">
        <f>HYPERLINK("http://www.twitter.com/NathanBLawrence/status/909252279982858240", "909252279982858240")</f>
        <v/>
      </c>
      <c r="B2636" s="2" t="n">
        <v>42995.12975694444</v>
      </c>
      <c r="C2636" t="n">
        <v>0</v>
      </c>
      <c r="D2636" t="n">
        <v>0</v>
      </c>
      <c r="E2636" t="s">
        <v>2645</v>
      </c>
      <c r="F2636" t="s"/>
      <c r="G2636" t="s"/>
      <c r="H2636" t="s"/>
      <c r="I2636" t="s"/>
      <c r="J2636" t="n">
        <v>0</v>
      </c>
      <c r="K2636" t="n">
        <v>0</v>
      </c>
      <c r="L2636" t="n">
        <v>1</v>
      </c>
      <c r="M2636" t="n">
        <v>0</v>
      </c>
    </row>
    <row r="2637" spans="1:13">
      <c r="A2637" s="1">
        <f>HYPERLINK("http://www.twitter.com/NathanBLawrence/status/909245644828807168", "909245644828807168")</f>
        <v/>
      </c>
      <c r="B2637" s="2" t="n">
        <v>42995.11144675926</v>
      </c>
      <c r="C2637" t="n">
        <v>1</v>
      </c>
      <c r="D2637" t="n">
        <v>0</v>
      </c>
      <c r="E2637" t="s">
        <v>2646</v>
      </c>
      <c r="F2637" t="s"/>
      <c r="G2637" t="s"/>
      <c r="H2637" t="s"/>
      <c r="I2637" t="s"/>
      <c r="J2637" t="n">
        <v>-0.296</v>
      </c>
      <c r="K2637" t="n">
        <v>0.145</v>
      </c>
      <c r="L2637" t="n">
        <v>0.855</v>
      </c>
      <c r="M2637" t="n">
        <v>0</v>
      </c>
    </row>
    <row r="2638" spans="1:13">
      <c r="A2638" s="1">
        <f>HYPERLINK("http://www.twitter.com/NathanBLawrence/status/909181104091000832", "909181104091000832")</f>
        <v/>
      </c>
      <c r="B2638" s="2" t="n">
        <v>42994.9333449074</v>
      </c>
      <c r="C2638" t="n">
        <v>0</v>
      </c>
      <c r="D2638" t="n">
        <v>0</v>
      </c>
      <c r="E2638" t="s">
        <v>2647</v>
      </c>
      <c r="F2638" t="s"/>
      <c r="G2638" t="s"/>
      <c r="H2638" t="s"/>
      <c r="I2638" t="s"/>
      <c r="J2638" t="n">
        <v>0</v>
      </c>
      <c r="K2638" t="n">
        <v>0</v>
      </c>
      <c r="L2638" t="n">
        <v>1</v>
      </c>
      <c r="M2638" t="n">
        <v>0</v>
      </c>
    </row>
    <row r="2639" spans="1:13">
      <c r="A2639" s="1">
        <f>HYPERLINK("http://www.twitter.com/NathanBLawrence/status/909085562157568000", "909085562157568000")</f>
        <v/>
      </c>
      <c r="B2639" s="2" t="n">
        <v>42994.66969907407</v>
      </c>
      <c r="C2639" t="n">
        <v>0</v>
      </c>
      <c r="D2639" t="n">
        <v>0</v>
      </c>
      <c r="E2639" t="s">
        <v>2648</v>
      </c>
      <c r="F2639" t="s"/>
      <c r="G2639" t="s"/>
      <c r="H2639" t="s"/>
      <c r="I2639" t="s"/>
      <c r="J2639" t="n">
        <v>0</v>
      </c>
      <c r="K2639" t="n">
        <v>0</v>
      </c>
      <c r="L2639" t="n">
        <v>1</v>
      </c>
      <c r="M2639" t="n">
        <v>0</v>
      </c>
    </row>
    <row r="2640" spans="1:13">
      <c r="A2640" s="1">
        <f>HYPERLINK("http://www.twitter.com/NathanBLawrence/status/909084289358290944", "909084289358290944")</f>
        <v/>
      </c>
      <c r="B2640" s="2" t="n">
        <v>42994.66619212963</v>
      </c>
      <c r="C2640" t="n">
        <v>0</v>
      </c>
      <c r="D2640" t="n">
        <v>0</v>
      </c>
      <c r="E2640" t="s">
        <v>2649</v>
      </c>
      <c r="F2640" t="s"/>
      <c r="G2640" t="s"/>
      <c r="H2640" t="s"/>
      <c r="I2640" t="s"/>
      <c r="J2640" t="n">
        <v>0.2732</v>
      </c>
      <c r="K2640" t="n">
        <v>0</v>
      </c>
      <c r="L2640" t="n">
        <v>0.826</v>
      </c>
      <c r="M2640" t="n">
        <v>0.174</v>
      </c>
    </row>
    <row r="2641" spans="1:13">
      <c r="A2641" s="1">
        <f>HYPERLINK("http://www.twitter.com/NathanBLawrence/status/909084019710709760", "909084019710709760")</f>
        <v/>
      </c>
      <c r="B2641" s="2" t="n">
        <v>42994.66543981482</v>
      </c>
      <c r="C2641" t="n">
        <v>0</v>
      </c>
      <c r="D2641" t="n">
        <v>0</v>
      </c>
      <c r="E2641" t="s">
        <v>2650</v>
      </c>
      <c r="F2641" t="s"/>
      <c r="G2641" t="s"/>
      <c r="H2641" t="s"/>
      <c r="I2641" t="s"/>
      <c r="J2641" t="n">
        <v>0</v>
      </c>
      <c r="K2641" t="n">
        <v>0</v>
      </c>
      <c r="L2641" t="n">
        <v>1</v>
      </c>
      <c r="M2641" t="n">
        <v>0</v>
      </c>
    </row>
    <row r="2642" spans="1:13">
      <c r="A2642" s="1">
        <f>HYPERLINK("http://www.twitter.com/NathanBLawrence/status/909082505495613442", "909082505495613442")</f>
        <v/>
      </c>
      <c r="B2642" s="2" t="n">
        <v>42994.66126157407</v>
      </c>
      <c r="C2642" t="n">
        <v>0</v>
      </c>
      <c r="D2642" t="n">
        <v>2653</v>
      </c>
      <c r="E2642" t="s">
        <v>2651</v>
      </c>
      <c r="F2642" t="s"/>
      <c r="G2642" t="s"/>
      <c r="H2642" t="s"/>
      <c r="I2642" t="s"/>
      <c r="J2642" t="n">
        <v>-0.25</v>
      </c>
      <c r="K2642" t="n">
        <v>0.129</v>
      </c>
      <c r="L2642" t="n">
        <v>0.781</v>
      </c>
      <c r="M2642" t="n">
        <v>0.09</v>
      </c>
    </row>
    <row r="2643" spans="1:13">
      <c r="A2643" s="1">
        <f>HYPERLINK("http://www.twitter.com/NathanBLawrence/status/909080583183245313", "909080583183245313")</f>
        <v/>
      </c>
      <c r="B2643" s="2" t="n">
        <v>42994.65596064815</v>
      </c>
      <c r="C2643" t="n">
        <v>0</v>
      </c>
      <c r="D2643" t="n">
        <v>0</v>
      </c>
      <c r="E2643" t="s">
        <v>2652</v>
      </c>
      <c r="F2643" t="s"/>
      <c r="G2643" t="s"/>
      <c r="H2643" t="s"/>
      <c r="I2643" t="s"/>
      <c r="J2643" t="n">
        <v>-0.4939</v>
      </c>
      <c r="K2643" t="n">
        <v>0.516</v>
      </c>
      <c r="L2643" t="n">
        <v>0.484</v>
      </c>
      <c r="M2643" t="n">
        <v>0</v>
      </c>
    </row>
    <row r="2644" spans="1:13">
      <c r="A2644" s="1">
        <f>HYPERLINK("http://www.twitter.com/NathanBLawrence/status/909080023369383936", "909080023369383936")</f>
        <v/>
      </c>
      <c r="B2644" s="2" t="n">
        <v>42994.6544212963</v>
      </c>
      <c r="C2644" t="n">
        <v>0</v>
      </c>
      <c r="D2644" t="n">
        <v>0</v>
      </c>
      <c r="E2644" t="s">
        <v>2653</v>
      </c>
      <c r="F2644" t="s"/>
      <c r="G2644" t="s"/>
      <c r="H2644" t="s"/>
      <c r="I2644" t="s"/>
      <c r="J2644" t="n">
        <v>0.6249</v>
      </c>
      <c r="K2644" t="n">
        <v>0</v>
      </c>
      <c r="L2644" t="n">
        <v>0.494</v>
      </c>
      <c r="M2644" t="n">
        <v>0.506</v>
      </c>
    </row>
    <row r="2645" spans="1:13">
      <c r="A2645" s="1">
        <f>HYPERLINK("http://www.twitter.com/NathanBLawrence/status/909070402571444225", "909070402571444225")</f>
        <v/>
      </c>
      <c r="B2645" s="2" t="n">
        <v>42994.62787037037</v>
      </c>
      <c r="C2645" t="n">
        <v>0</v>
      </c>
      <c r="D2645" t="n">
        <v>0</v>
      </c>
      <c r="E2645" t="s">
        <v>2654</v>
      </c>
      <c r="F2645" t="s"/>
      <c r="G2645" t="s"/>
      <c r="H2645" t="s"/>
      <c r="I2645" t="s"/>
      <c r="J2645" t="n">
        <v>0</v>
      </c>
      <c r="K2645" t="n">
        <v>0</v>
      </c>
      <c r="L2645" t="n">
        <v>1</v>
      </c>
      <c r="M2645" t="n">
        <v>0</v>
      </c>
    </row>
    <row r="2646" spans="1:13">
      <c r="A2646" s="1">
        <f>HYPERLINK("http://www.twitter.com/NathanBLawrence/status/909059738448646144", "909059738448646144")</f>
        <v/>
      </c>
      <c r="B2646" s="2" t="n">
        <v>42994.5984375</v>
      </c>
      <c r="C2646" t="n">
        <v>0</v>
      </c>
      <c r="D2646" t="n">
        <v>0</v>
      </c>
      <c r="E2646" t="s">
        <v>2655</v>
      </c>
      <c r="F2646" t="s"/>
      <c r="G2646" t="s"/>
      <c r="H2646" t="s"/>
      <c r="I2646" t="s"/>
      <c r="J2646" t="n">
        <v>0.3612</v>
      </c>
      <c r="K2646" t="n">
        <v>0</v>
      </c>
      <c r="L2646" t="n">
        <v>0.667</v>
      </c>
      <c r="M2646" t="n">
        <v>0.333</v>
      </c>
    </row>
    <row r="2647" spans="1:13">
      <c r="A2647" s="1">
        <f>HYPERLINK("http://www.twitter.com/NathanBLawrence/status/909057919882338310", "909057919882338310")</f>
        <v/>
      </c>
      <c r="B2647" s="2" t="n">
        <v>42994.59342592592</v>
      </c>
      <c r="C2647" t="n">
        <v>3</v>
      </c>
      <c r="D2647" t="n">
        <v>0</v>
      </c>
      <c r="E2647" t="s">
        <v>2656</v>
      </c>
      <c r="F2647" t="s"/>
      <c r="G2647" t="s"/>
      <c r="H2647" t="s"/>
      <c r="I2647" t="s"/>
      <c r="J2647" t="n">
        <v>-0.128</v>
      </c>
      <c r="K2647" t="n">
        <v>0.13</v>
      </c>
      <c r="L2647" t="n">
        <v>0.87</v>
      </c>
      <c r="M2647" t="n">
        <v>0</v>
      </c>
    </row>
    <row r="2648" spans="1:13">
      <c r="A2648" s="1">
        <f>HYPERLINK("http://www.twitter.com/NathanBLawrence/status/909032678929915904", "909032678929915904")</f>
        <v/>
      </c>
      <c r="B2648" s="2" t="n">
        <v>42994.52377314815</v>
      </c>
      <c r="C2648" t="n">
        <v>8</v>
      </c>
      <c r="D2648" t="n">
        <v>5</v>
      </c>
      <c r="E2648" t="s">
        <v>2657</v>
      </c>
      <c r="F2648" t="s"/>
      <c r="G2648" t="s"/>
      <c r="H2648" t="s"/>
      <c r="I2648" t="s"/>
      <c r="J2648" t="n">
        <v>0.8516</v>
      </c>
      <c r="K2648" t="n">
        <v>0</v>
      </c>
      <c r="L2648" t="n">
        <v>0.617</v>
      </c>
      <c r="M2648" t="n">
        <v>0.383</v>
      </c>
    </row>
    <row r="2649" spans="1:13">
      <c r="A2649" s="1">
        <f>HYPERLINK("http://www.twitter.com/NathanBLawrence/status/908898191441055744", "908898191441055744")</f>
        <v/>
      </c>
      <c r="B2649" s="2" t="n">
        <v>42994.15266203704</v>
      </c>
      <c r="C2649" t="n">
        <v>1</v>
      </c>
      <c r="D2649" t="n">
        <v>0</v>
      </c>
      <c r="E2649" t="s">
        <v>2658</v>
      </c>
      <c r="F2649" t="s"/>
      <c r="G2649" t="s"/>
      <c r="H2649" t="s"/>
      <c r="I2649" t="s"/>
      <c r="J2649" t="n">
        <v>0</v>
      </c>
      <c r="K2649" t="n">
        <v>0</v>
      </c>
      <c r="L2649" t="n">
        <v>1</v>
      </c>
      <c r="M2649" t="n">
        <v>0</v>
      </c>
    </row>
    <row r="2650" spans="1:13">
      <c r="A2650" s="1">
        <f>HYPERLINK("http://www.twitter.com/NathanBLawrence/status/908851894373830657", "908851894373830657")</f>
        <v/>
      </c>
      <c r="B2650" s="2" t="n">
        <v>42994.02489583333</v>
      </c>
      <c r="C2650" t="n">
        <v>6</v>
      </c>
      <c r="D2650" t="n">
        <v>0</v>
      </c>
      <c r="E2650" t="s">
        <v>2659</v>
      </c>
      <c r="F2650" t="s"/>
      <c r="G2650" t="s"/>
      <c r="H2650" t="s"/>
      <c r="I2650" t="s"/>
      <c r="J2650" t="n">
        <v>0</v>
      </c>
      <c r="K2650" t="n">
        <v>0</v>
      </c>
      <c r="L2650" t="n">
        <v>1</v>
      </c>
      <c r="M2650" t="n">
        <v>0</v>
      </c>
    </row>
    <row r="2651" spans="1:13">
      <c r="A2651" s="1">
        <f>HYPERLINK("http://www.twitter.com/NathanBLawrence/status/908836163947024384", "908836163947024384")</f>
        <v/>
      </c>
      <c r="B2651" s="2" t="n">
        <v>42993.98149305556</v>
      </c>
      <c r="C2651" t="n">
        <v>2</v>
      </c>
      <c r="D2651" t="n">
        <v>0</v>
      </c>
      <c r="E2651" t="s">
        <v>2660</v>
      </c>
      <c r="F2651" t="s"/>
      <c r="G2651" t="s"/>
      <c r="H2651" t="s"/>
      <c r="I2651" t="s"/>
      <c r="J2651" t="n">
        <v>0.6892</v>
      </c>
      <c r="K2651" t="n">
        <v>0</v>
      </c>
      <c r="L2651" t="n">
        <v>0.5620000000000001</v>
      </c>
      <c r="M2651" t="n">
        <v>0.438</v>
      </c>
    </row>
    <row r="2652" spans="1:13">
      <c r="A2652" s="1">
        <f>HYPERLINK("http://www.twitter.com/NathanBLawrence/status/908831915104497664", "908831915104497664")</f>
        <v/>
      </c>
      <c r="B2652" s="2" t="n">
        <v>42993.96976851852</v>
      </c>
      <c r="C2652" t="n">
        <v>0</v>
      </c>
      <c r="D2652" t="n">
        <v>0</v>
      </c>
      <c r="E2652" t="s">
        <v>2661</v>
      </c>
      <c r="F2652" t="s"/>
      <c r="G2652" t="s"/>
      <c r="H2652" t="s"/>
      <c r="I2652" t="s"/>
      <c r="J2652" t="n">
        <v>0</v>
      </c>
      <c r="K2652" t="n">
        <v>0</v>
      </c>
      <c r="L2652" t="n">
        <v>1</v>
      </c>
      <c r="M2652" t="n">
        <v>0</v>
      </c>
    </row>
    <row r="2653" spans="1:13">
      <c r="A2653" s="1">
        <f>HYPERLINK("http://www.twitter.com/NathanBLawrence/status/908829454633402369", "908829454633402369")</f>
        <v/>
      </c>
      <c r="B2653" s="2" t="n">
        <v>42993.96297453704</v>
      </c>
      <c r="C2653" t="n">
        <v>1</v>
      </c>
      <c r="D2653" t="n">
        <v>0</v>
      </c>
      <c r="E2653" t="s">
        <v>2662</v>
      </c>
      <c r="F2653" t="s"/>
      <c r="G2653" t="s"/>
      <c r="H2653" t="s"/>
      <c r="I2653" t="s"/>
      <c r="J2653" t="n">
        <v>0.4215</v>
      </c>
      <c r="K2653" t="n">
        <v>0</v>
      </c>
      <c r="L2653" t="n">
        <v>0.6820000000000001</v>
      </c>
      <c r="M2653" t="n">
        <v>0.318</v>
      </c>
    </row>
    <row r="2654" spans="1:13">
      <c r="A2654" s="1">
        <f>HYPERLINK("http://www.twitter.com/NathanBLawrence/status/908705562132717569", "908705562132717569")</f>
        <v/>
      </c>
      <c r="B2654" s="2" t="n">
        <v>42993.62109953703</v>
      </c>
      <c r="C2654" t="n">
        <v>2</v>
      </c>
      <c r="D2654" t="n">
        <v>0</v>
      </c>
      <c r="E2654" t="s">
        <v>2663</v>
      </c>
      <c r="F2654" t="s"/>
      <c r="G2654" t="s"/>
      <c r="H2654" t="s"/>
      <c r="I2654" t="s"/>
      <c r="J2654" t="n">
        <v>-0.0772</v>
      </c>
      <c r="K2654" t="n">
        <v>0.227</v>
      </c>
      <c r="L2654" t="n">
        <v>0.5669999999999999</v>
      </c>
      <c r="M2654" t="n">
        <v>0.206</v>
      </c>
    </row>
    <row r="2655" spans="1:13">
      <c r="A2655" s="1">
        <f>HYPERLINK("http://www.twitter.com/NathanBLawrence/status/908703037132279808", "908703037132279808")</f>
        <v/>
      </c>
      <c r="B2655" s="2" t="n">
        <v>42993.61413194444</v>
      </c>
      <c r="C2655" t="n">
        <v>0</v>
      </c>
      <c r="D2655" t="n">
        <v>0</v>
      </c>
      <c r="E2655" t="s">
        <v>2664</v>
      </c>
      <c r="F2655" t="s"/>
      <c r="G2655" t="s"/>
      <c r="H2655" t="s"/>
      <c r="I2655" t="s"/>
      <c r="J2655" t="n">
        <v>0.4404</v>
      </c>
      <c r="K2655" t="n">
        <v>0</v>
      </c>
      <c r="L2655" t="n">
        <v>0.734</v>
      </c>
      <c r="M2655" t="n">
        <v>0.266</v>
      </c>
    </row>
    <row r="2656" spans="1:13">
      <c r="A2656" s="1">
        <f>HYPERLINK("http://www.twitter.com/NathanBLawrence/status/908690246845583360", "908690246845583360")</f>
        <v/>
      </c>
      <c r="B2656" s="2" t="n">
        <v>42993.57884259259</v>
      </c>
      <c r="C2656" t="n">
        <v>0</v>
      </c>
      <c r="D2656" t="n">
        <v>0</v>
      </c>
      <c r="E2656" t="s">
        <v>2665</v>
      </c>
      <c r="F2656" t="s"/>
      <c r="G2656" t="s"/>
      <c r="H2656" t="s"/>
      <c r="I2656" t="s"/>
      <c r="J2656" t="n">
        <v>0.3252</v>
      </c>
      <c r="K2656" t="n">
        <v>0</v>
      </c>
      <c r="L2656" t="n">
        <v>0.462</v>
      </c>
      <c r="M2656" t="n">
        <v>0.538</v>
      </c>
    </row>
    <row r="2657" spans="1:13">
      <c r="A2657" s="1">
        <f>HYPERLINK("http://www.twitter.com/NathanBLawrence/status/908689574804762625", "908689574804762625")</f>
        <v/>
      </c>
      <c r="B2657" s="2" t="n">
        <v>42993.57697916667</v>
      </c>
      <c r="C2657" t="n">
        <v>0</v>
      </c>
      <c r="D2657" t="n">
        <v>0</v>
      </c>
      <c r="E2657" t="s">
        <v>2666</v>
      </c>
      <c r="F2657" t="s"/>
      <c r="G2657" t="s"/>
      <c r="H2657" t="s"/>
      <c r="I2657" t="s"/>
      <c r="J2657" t="n">
        <v>0.743</v>
      </c>
      <c r="K2657" t="n">
        <v>0</v>
      </c>
      <c r="L2657" t="n">
        <v>0.388</v>
      </c>
      <c r="M2657" t="n">
        <v>0.612</v>
      </c>
    </row>
    <row r="2658" spans="1:13">
      <c r="A2658" s="1">
        <f>HYPERLINK("http://www.twitter.com/NathanBLawrence/status/908681625675927557", "908681625675927557")</f>
        <v/>
      </c>
      <c r="B2658" s="2" t="n">
        <v>42993.55504629629</v>
      </c>
      <c r="C2658" t="n">
        <v>1</v>
      </c>
      <c r="D2658" t="n">
        <v>0</v>
      </c>
      <c r="E2658" t="s">
        <v>2667</v>
      </c>
      <c r="F2658" t="s"/>
      <c r="G2658" t="s"/>
      <c r="H2658" t="s"/>
      <c r="I2658" t="s"/>
      <c r="J2658" t="n">
        <v>0</v>
      </c>
      <c r="K2658" t="n">
        <v>0</v>
      </c>
      <c r="L2658" t="n">
        <v>1</v>
      </c>
      <c r="M2658" t="n">
        <v>0</v>
      </c>
    </row>
    <row r="2659" spans="1:13">
      <c r="A2659" s="1">
        <f>HYPERLINK("http://www.twitter.com/NathanBLawrence/status/908534939364286464", "908534939364286464")</f>
        <v/>
      </c>
      <c r="B2659" s="2" t="n">
        <v>42993.1502662037</v>
      </c>
      <c r="C2659" t="n">
        <v>0</v>
      </c>
      <c r="D2659" t="n">
        <v>0</v>
      </c>
      <c r="E2659" t="s">
        <v>2668</v>
      </c>
      <c r="F2659" t="s"/>
      <c r="G2659" t="s"/>
      <c r="H2659" t="s"/>
      <c r="I2659" t="s"/>
      <c r="J2659" t="n">
        <v>0</v>
      </c>
      <c r="K2659" t="n">
        <v>0</v>
      </c>
      <c r="L2659" t="n">
        <v>1</v>
      </c>
      <c r="M2659" t="n">
        <v>0</v>
      </c>
    </row>
    <row r="2660" spans="1:13">
      <c r="A2660" s="1">
        <f>HYPERLINK("http://www.twitter.com/NathanBLawrence/status/908531905016029185", "908531905016029185")</f>
        <v/>
      </c>
      <c r="B2660" s="2" t="n">
        <v>42993.14189814815</v>
      </c>
      <c r="C2660" t="n">
        <v>0</v>
      </c>
      <c r="D2660" t="n">
        <v>15</v>
      </c>
      <c r="E2660" t="s">
        <v>2669</v>
      </c>
      <c r="F2660">
        <f>HYPERLINK("https://video.twimg.com/ext_tw_video/908531274012352512/pu/vid/224x128/JmFC-3LA3WjqLAdg.mp4", "https://video.twimg.com/ext_tw_video/908531274012352512/pu/vid/224x128/JmFC-3LA3WjqLAdg.mp4")</f>
        <v/>
      </c>
      <c r="G2660" t="s"/>
      <c r="H2660" t="s"/>
      <c r="I2660" t="s"/>
      <c r="J2660" t="n">
        <v>-0.2263</v>
      </c>
      <c r="K2660" t="n">
        <v>0.08699999999999999</v>
      </c>
      <c r="L2660" t="n">
        <v>0.913</v>
      </c>
      <c r="M2660" t="n">
        <v>0</v>
      </c>
    </row>
    <row r="2661" spans="1:13">
      <c r="A2661" s="1">
        <f>HYPERLINK("http://www.twitter.com/NathanBLawrence/status/908524784249647104", "908524784249647104")</f>
        <v/>
      </c>
      <c r="B2661" s="2" t="n">
        <v>42993.12224537037</v>
      </c>
      <c r="C2661" t="n">
        <v>0</v>
      </c>
      <c r="D2661" t="n">
        <v>0</v>
      </c>
      <c r="E2661" t="s">
        <v>2670</v>
      </c>
      <c r="F2661" t="s"/>
      <c r="G2661" t="s"/>
      <c r="H2661" t="s"/>
      <c r="I2661" t="s"/>
      <c r="J2661" t="n">
        <v>0</v>
      </c>
      <c r="K2661" t="n">
        <v>0</v>
      </c>
      <c r="L2661" t="n">
        <v>1</v>
      </c>
      <c r="M2661" t="n">
        <v>0</v>
      </c>
    </row>
    <row r="2662" spans="1:13">
      <c r="A2662" s="1">
        <f>HYPERLINK("http://www.twitter.com/NathanBLawrence/status/908511620980203520", "908511620980203520")</f>
        <v/>
      </c>
      <c r="B2662" s="2" t="n">
        <v>42993.08592592592</v>
      </c>
      <c r="C2662" t="n">
        <v>0</v>
      </c>
      <c r="D2662" t="n">
        <v>0</v>
      </c>
      <c r="E2662" t="s">
        <v>2671</v>
      </c>
      <c r="F2662" t="s"/>
      <c r="G2662" t="s"/>
      <c r="H2662" t="s"/>
      <c r="I2662" t="s"/>
      <c r="J2662" t="n">
        <v>0</v>
      </c>
      <c r="K2662" t="n">
        <v>0</v>
      </c>
      <c r="L2662" t="n">
        <v>1</v>
      </c>
      <c r="M2662" t="n">
        <v>0</v>
      </c>
    </row>
    <row r="2663" spans="1:13">
      <c r="A2663" s="1">
        <f>HYPERLINK("http://www.twitter.com/NathanBLawrence/status/908509461781807106", "908509461781807106")</f>
        <v/>
      </c>
      <c r="B2663" s="2" t="n">
        <v>42993.07996527778</v>
      </c>
      <c r="C2663" t="n">
        <v>0</v>
      </c>
      <c r="D2663" t="n">
        <v>30</v>
      </c>
      <c r="E2663" t="s">
        <v>2672</v>
      </c>
      <c r="F2663">
        <f>HYPERLINK("https://video.twimg.com/ext_tw_video/908495012291158017/pu/vid/1280x720/eHBv-yIfwSMut5kM.mp4", "https://video.twimg.com/ext_tw_video/908495012291158017/pu/vid/1280x720/eHBv-yIfwSMut5kM.mp4")</f>
        <v/>
      </c>
      <c r="G2663" t="s"/>
      <c r="H2663" t="s"/>
      <c r="I2663" t="s"/>
      <c r="J2663" t="n">
        <v>-0.0176</v>
      </c>
      <c r="K2663" t="n">
        <v>0.097</v>
      </c>
      <c r="L2663" t="n">
        <v>0.8090000000000001</v>
      </c>
      <c r="M2663" t="n">
        <v>0.094</v>
      </c>
    </row>
    <row r="2664" spans="1:13">
      <c r="A2664" s="1">
        <f>HYPERLINK("http://www.twitter.com/NathanBLawrence/status/908509069358616576", "908509069358616576")</f>
        <v/>
      </c>
      <c r="B2664" s="2" t="n">
        <v>42993.07888888889</v>
      </c>
      <c r="C2664" t="n">
        <v>0</v>
      </c>
      <c r="D2664" t="n">
        <v>0</v>
      </c>
      <c r="E2664" t="s">
        <v>2673</v>
      </c>
      <c r="F2664" t="s"/>
      <c r="G2664" t="s"/>
      <c r="H2664" t="s"/>
      <c r="I2664" t="s"/>
      <c r="J2664" t="n">
        <v>0</v>
      </c>
      <c r="K2664" t="n">
        <v>0</v>
      </c>
      <c r="L2664" t="n">
        <v>1</v>
      </c>
      <c r="M2664" t="n">
        <v>0</v>
      </c>
    </row>
    <row r="2665" spans="1:13">
      <c r="A2665" s="1">
        <f>HYPERLINK("http://www.twitter.com/NathanBLawrence/status/908504341618753538", "908504341618753538")</f>
        <v/>
      </c>
      <c r="B2665" s="2" t="n">
        <v>42993.06583333333</v>
      </c>
      <c r="C2665" t="n">
        <v>0</v>
      </c>
      <c r="D2665" t="n">
        <v>13369</v>
      </c>
      <c r="E2665" t="s">
        <v>2674</v>
      </c>
      <c r="F2665">
        <f>HYPERLINK("http://pbs.twimg.com/media/DJtP9eDXoAEexY1.jpg", "http://pbs.twimg.com/media/DJtP9eDXoAEexY1.jpg")</f>
        <v/>
      </c>
      <c r="G2665" t="s"/>
      <c r="H2665" t="s"/>
      <c r="I2665" t="s"/>
      <c r="J2665" t="n">
        <v>-0.4404</v>
      </c>
      <c r="K2665" t="n">
        <v>0.146</v>
      </c>
      <c r="L2665" t="n">
        <v>0.854</v>
      </c>
      <c r="M2665" t="n">
        <v>0</v>
      </c>
    </row>
    <row r="2666" spans="1:13">
      <c r="A2666" s="1">
        <f>HYPERLINK("http://www.twitter.com/NathanBLawrence/status/908503605413650432", "908503605413650432")</f>
        <v/>
      </c>
      <c r="B2666" s="2" t="n">
        <v>42993.06380787037</v>
      </c>
      <c r="C2666" t="n">
        <v>0</v>
      </c>
      <c r="D2666" t="n">
        <v>0</v>
      </c>
      <c r="E2666" t="s">
        <v>2675</v>
      </c>
      <c r="F2666" t="s"/>
      <c r="G2666" t="s"/>
      <c r="H2666" t="s"/>
      <c r="I2666" t="s"/>
      <c r="J2666" t="n">
        <v>0.1027</v>
      </c>
      <c r="K2666" t="n">
        <v>0</v>
      </c>
      <c r="L2666" t="n">
        <v>0.909</v>
      </c>
      <c r="M2666" t="n">
        <v>0.091</v>
      </c>
    </row>
    <row r="2667" spans="1:13">
      <c r="A2667" s="1">
        <f>HYPERLINK("http://www.twitter.com/NathanBLawrence/status/908497539472781312", "908497539472781312")</f>
        <v/>
      </c>
      <c r="B2667" s="2" t="n">
        <v>42993.04707175926</v>
      </c>
      <c r="C2667" t="n">
        <v>0</v>
      </c>
      <c r="D2667" t="n">
        <v>0</v>
      </c>
      <c r="E2667" t="s">
        <v>2676</v>
      </c>
      <c r="F2667" t="s"/>
      <c r="G2667" t="s"/>
      <c r="H2667" t="s"/>
      <c r="I2667" t="s"/>
      <c r="J2667" t="n">
        <v>0.2023</v>
      </c>
      <c r="K2667" t="n">
        <v>0.128</v>
      </c>
      <c r="L2667" t="n">
        <v>0.698</v>
      </c>
      <c r="M2667" t="n">
        <v>0.174</v>
      </c>
    </row>
    <row r="2668" spans="1:13">
      <c r="A2668" s="1">
        <f>HYPERLINK("http://www.twitter.com/NathanBLawrence/status/908479938050904069", "908479938050904069")</f>
        <v/>
      </c>
      <c r="B2668" s="2" t="n">
        <v>42992.99849537037</v>
      </c>
      <c r="C2668" t="n">
        <v>0</v>
      </c>
      <c r="D2668" t="n">
        <v>0</v>
      </c>
      <c r="E2668" t="s">
        <v>2677</v>
      </c>
      <c r="F2668" t="s"/>
      <c r="G2668" t="s"/>
      <c r="H2668" t="s"/>
      <c r="I2668" t="s"/>
      <c r="J2668" t="n">
        <v>0.1531</v>
      </c>
      <c r="K2668" t="n">
        <v>0</v>
      </c>
      <c r="L2668" t="n">
        <v>0.862</v>
      </c>
      <c r="M2668" t="n">
        <v>0.138</v>
      </c>
    </row>
    <row r="2669" spans="1:13">
      <c r="A2669" s="1">
        <f>HYPERLINK("http://www.twitter.com/NathanBLawrence/status/908478546762485760", "908478546762485760")</f>
        <v/>
      </c>
      <c r="B2669" s="2" t="n">
        <v>42992.99465277778</v>
      </c>
      <c r="C2669" t="n">
        <v>0</v>
      </c>
      <c r="D2669" t="n">
        <v>0</v>
      </c>
      <c r="E2669" t="s">
        <v>2678</v>
      </c>
      <c r="F2669" t="s"/>
      <c r="G2669" t="s"/>
      <c r="H2669" t="s"/>
      <c r="I2669" t="s"/>
      <c r="J2669" t="n">
        <v>0.34</v>
      </c>
      <c r="K2669" t="n">
        <v>0</v>
      </c>
      <c r="L2669" t="n">
        <v>0.779</v>
      </c>
      <c r="M2669" t="n">
        <v>0.221</v>
      </c>
    </row>
    <row r="2670" spans="1:13">
      <c r="A2670" s="1">
        <f>HYPERLINK("http://www.twitter.com/NathanBLawrence/status/908433612269334533", "908433612269334533")</f>
        <v/>
      </c>
      <c r="B2670" s="2" t="n">
        <v>42992.87065972222</v>
      </c>
      <c r="C2670" t="n">
        <v>0</v>
      </c>
      <c r="D2670" t="n">
        <v>1</v>
      </c>
      <c r="E2670" t="s">
        <v>2679</v>
      </c>
      <c r="F2670" t="s"/>
      <c r="G2670" t="s"/>
      <c r="H2670" t="s"/>
      <c r="I2670" t="s"/>
      <c r="J2670" t="n">
        <v>0</v>
      </c>
      <c r="K2670" t="n">
        <v>0</v>
      </c>
      <c r="L2670" t="n">
        <v>1</v>
      </c>
      <c r="M2670" t="n">
        <v>0</v>
      </c>
    </row>
    <row r="2671" spans="1:13">
      <c r="A2671" s="1">
        <f>HYPERLINK("http://www.twitter.com/NathanBLawrence/status/908426045853970438", "908426045853970438")</f>
        <v/>
      </c>
      <c r="B2671" s="2" t="n">
        <v>42992.84978009259</v>
      </c>
      <c r="C2671" t="n">
        <v>2</v>
      </c>
      <c r="D2671" t="n">
        <v>0</v>
      </c>
      <c r="E2671" t="s">
        <v>2680</v>
      </c>
      <c r="F2671" t="s"/>
      <c r="G2671" t="s"/>
      <c r="H2671" t="s"/>
      <c r="I2671" t="s"/>
      <c r="J2671" t="n">
        <v>0.4767</v>
      </c>
      <c r="K2671" t="n">
        <v>0</v>
      </c>
      <c r="L2671" t="n">
        <v>0.728</v>
      </c>
      <c r="M2671" t="n">
        <v>0.272</v>
      </c>
    </row>
    <row r="2672" spans="1:13">
      <c r="A2672" s="1">
        <f>HYPERLINK("http://www.twitter.com/NathanBLawrence/status/908367729106845696", "908367729106845696")</f>
        <v/>
      </c>
      <c r="B2672" s="2" t="n">
        <v>42992.68885416666</v>
      </c>
      <c r="C2672" t="n">
        <v>0</v>
      </c>
      <c r="D2672" t="n">
        <v>0</v>
      </c>
      <c r="E2672" t="s">
        <v>2681</v>
      </c>
      <c r="F2672" t="s"/>
      <c r="G2672" t="s"/>
      <c r="H2672" t="s"/>
      <c r="I2672" t="s"/>
      <c r="J2672" t="n">
        <v>0.6554</v>
      </c>
      <c r="K2672" t="n">
        <v>0</v>
      </c>
      <c r="L2672" t="n">
        <v>0.674</v>
      </c>
      <c r="M2672" t="n">
        <v>0.326</v>
      </c>
    </row>
    <row r="2673" spans="1:13">
      <c r="A2673" s="1">
        <f>HYPERLINK("http://www.twitter.com/NathanBLawrence/status/908366721257439232", "908366721257439232")</f>
        <v/>
      </c>
      <c r="B2673" s="2" t="n">
        <v>42992.68607638889</v>
      </c>
      <c r="C2673" t="n">
        <v>0</v>
      </c>
      <c r="D2673" t="n">
        <v>0</v>
      </c>
      <c r="E2673" t="s">
        <v>2682</v>
      </c>
      <c r="F2673" t="s"/>
      <c r="G2673" t="s"/>
      <c r="H2673" t="s"/>
      <c r="I2673" t="s"/>
      <c r="J2673" t="n">
        <v>0</v>
      </c>
      <c r="K2673" t="n">
        <v>0</v>
      </c>
      <c r="L2673" t="n">
        <v>1</v>
      </c>
      <c r="M2673" t="n">
        <v>0</v>
      </c>
    </row>
    <row r="2674" spans="1:13">
      <c r="A2674" s="1">
        <f>HYPERLINK("http://www.twitter.com/NathanBLawrence/status/908335914342125568", "908335914342125568")</f>
        <v/>
      </c>
      <c r="B2674" s="2" t="n">
        <v>42992.60106481481</v>
      </c>
      <c r="C2674" t="n">
        <v>0</v>
      </c>
      <c r="D2674" t="n">
        <v>0</v>
      </c>
      <c r="E2674" t="s">
        <v>2683</v>
      </c>
      <c r="F2674" t="s"/>
      <c r="G2674" t="s"/>
      <c r="H2674" t="s"/>
      <c r="I2674" t="s"/>
      <c r="J2674" t="n">
        <v>-0.6093</v>
      </c>
      <c r="K2674" t="n">
        <v>0.21</v>
      </c>
      <c r="L2674" t="n">
        <v>0.79</v>
      </c>
      <c r="M2674" t="n">
        <v>0</v>
      </c>
    </row>
    <row r="2675" spans="1:13">
      <c r="A2675" s="1">
        <f>HYPERLINK("http://www.twitter.com/NathanBLawrence/status/908319117366751232", "908319117366751232")</f>
        <v/>
      </c>
      <c r="B2675" s="2" t="n">
        <v>42992.55471064815</v>
      </c>
      <c r="C2675" t="n">
        <v>0</v>
      </c>
      <c r="D2675" t="n">
        <v>0</v>
      </c>
      <c r="E2675" t="s">
        <v>2684</v>
      </c>
      <c r="F2675" t="s"/>
      <c r="G2675" t="s"/>
      <c r="H2675" t="s"/>
      <c r="I2675" t="s"/>
      <c r="J2675" t="n">
        <v>0</v>
      </c>
      <c r="K2675" t="n">
        <v>0</v>
      </c>
      <c r="L2675" t="n">
        <v>1</v>
      </c>
      <c r="M2675" t="n">
        <v>0</v>
      </c>
    </row>
    <row r="2676" spans="1:13">
      <c r="A2676" s="1">
        <f>HYPERLINK("http://www.twitter.com/NathanBLawrence/status/908155764556136449", "908155764556136449")</f>
        <v/>
      </c>
      <c r="B2676" s="2" t="n">
        <v>42992.10394675926</v>
      </c>
      <c r="C2676" t="n">
        <v>0</v>
      </c>
      <c r="D2676" t="n">
        <v>0</v>
      </c>
      <c r="E2676" t="s">
        <v>2685</v>
      </c>
      <c r="F2676" t="s"/>
      <c r="G2676" t="s"/>
      <c r="H2676" t="s"/>
      <c r="I2676" t="s"/>
      <c r="J2676" t="n">
        <v>0.0258</v>
      </c>
      <c r="K2676" t="n">
        <v>0</v>
      </c>
      <c r="L2676" t="n">
        <v>0.845</v>
      </c>
      <c r="M2676" t="n">
        <v>0.155</v>
      </c>
    </row>
    <row r="2677" spans="1:13">
      <c r="A2677" s="1">
        <f>HYPERLINK("http://www.twitter.com/NathanBLawrence/status/908151784031625216", "908151784031625216")</f>
        <v/>
      </c>
      <c r="B2677" s="2" t="n">
        <v>42992.09296296296</v>
      </c>
      <c r="C2677" t="n">
        <v>2</v>
      </c>
      <c r="D2677" t="n">
        <v>0</v>
      </c>
      <c r="E2677" t="s">
        <v>2686</v>
      </c>
      <c r="F2677" t="s"/>
      <c r="G2677" t="s"/>
      <c r="H2677" t="s"/>
      <c r="I2677" t="s"/>
      <c r="J2677" t="n">
        <v>-0.4215</v>
      </c>
      <c r="K2677" t="n">
        <v>0.167</v>
      </c>
      <c r="L2677" t="n">
        <v>0.833</v>
      </c>
      <c r="M2677" t="n">
        <v>0</v>
      </c>
    </row>
    <row r="2678" spans="1:13">
      <c r="A2678" s="1">
        <f>HYPERLINK("http://www.twitter.com/NathanBLawrence/status/908055673635790851", "908055673635790851")</f>
        <v/>
      </c>
      <c r="B2678" s="2" t="n">
        <v>42991.82775462963</v>
      </c>
      <c r="C2678" t="n">
        <v>1</v>
      </c>
      <c r="D2678" t="n">
        <v>0</v>
      </c>
      <c r="E2678" t="s">
        <v>2687</v>
      </c>
      <c r="F2678" t="s"/>
      <c r="G2678" t="s"/>
      <c r="H2678" t="s"/>
      <c r="I2678" t="s"/>
      <c r="J2678" t="n">
        <v>0</v>
      </c>
      <c r="K2678" t="n">
        <v>0</v>
      </c>
      <c r="L2678" t="n">
        <v>1</v>
      </c>
      <c r="M2678" t="n">
        <v>0</v>
      </c>
    </row>
    <row r="2679" spans="1:13">
      <c r="A2679" s="1">
        <f>HYPERLINK("http://www.twitter.com/NathanBLawrence/status/908051330660532229", "908051330660532229")</f>
        <v/>
      </c>
      <c r="B2679" s="2" t="n">
        <v>42991.81576388889</v>
      </c>
      <c r="C2679" t="n">
        <v>0</v>
      </c>
      <c r="D2679" t="n">
        <v>0</v>
      </c>
      <c r="E2679" t="s">
        <v>2688</v>
      </c>
      <c r="F2679" t="s"/>
      <c r="G2679" t="s"/>
      <c r="H2679" t="s"/>
      <c r="I2679" t="s"/>
      <c r="J2679" t="n">
        <v>-0.2023</v>
      </c>
      <c r="K2679" t="n">
        <v>0.2</v>
      </c>
      <c r="L2679" t="n">
        <v>0.706</v>
      </c>
      <c r="M2679" t="n">
        <v>0.094</v>
      </c>
    </row>
    <row r="2680" spans="1:13">
      <c r="A2680" s="1">
        <f>HYPERLINK("http://www.twitter.com/NathanBLawrence/status/908032478115442696", "908032478115442696")</f>
        <v/>
      </c>
      <c r="B2680" s="2" t="n">
        <v>42991.76373842593</v>
      </c>
      <c r="C2680" t="n">
        <v>1</v>
      </c>
      <c r="D2680" t="n">
        <v>0</v>
      </c>
      <c r="E2680" t="s">
        <v>2689</v>
      </c>
      <c r="F2680" t="s"/>
      <c r="G2680" t="s"/>
      <c r="H2680" t="s"/>
      <c r="I2680" t="s"/>
      <c r="J2680" t="n">
        <v>0.4098</v>
      </c>
      <c r="K2680" t="n">
        <v>0</v>
      </c>
      <c r="L2680" t="n">
        <v>0.836</v>
      </c>
      <c r="M2680" t="n">
        <v>0.164</v>
      </c>
    </row>
    <row r="2681" spans="1:13">
      <c r="A2681" s="1">
        <f>HYPERLINK("http://www.twitter.com/NathanBLawrence/status/907785970191302656", "907785970191302656")</f>
        <v/>
      </c>
      <c r="B2681" s="2" t="n">
        <v>42991.08350694444</v>
      </c>
      <c r="C2681" t="n">
        <v>1</v>
      </c>
      <c r="D2681" t="n">
        <v>0</v>
      </c>
      <c r="E2681" t="s">
        <v>2690</v>
      </c>
      <c r="F2681" t="s"/>
      <c r="G2681" t="s"/>
      <c r="H2681" t="s"/>
      <c r="I2681" t="s"/>
      <c r="J2681" t="n">
        <v>0.1531</v>
      </c>
      <c r="K2681" t="n">
        <v>0</v>
      </c>
      <c r="L2681" t="n">
        <v>0.89</v>
      </c>
      <c r="M2681" t="n">
        <v>0.11</v>
      </c>
    </row>
    <row r="2682" spans="1:13">
      <c r="A2682" s="1">
        <f>HYPERLINK("http://www.twitter.com/NathanBLawrence/status/907644731647254529", "907644731647254529")</f>
        <v/>
      </c>
      <c r="B2682" s="2" t="n">
        <v>42990.69376157408</v>
      </c>
      <c r="C2682" t="n">
        <v>0</v>
      </c>
      <c r="D2682" t="n">
        <v>0</v>
      </c>
      <c r="E2682" t="s">
        <v>2691</v>
      </c>
      <c r="F2682">
        <f>HYPERLINK("http://pbs.twimg.com/media/DJiaDylWAAATLTc.jpg", "http://pbs.twimg.com/media/DJiaDylWAAATLTc.jpg")</f>
        <v/>
      </c>
      <c r="G2682" t="s"/>
      <c r="H2682" t="s"/>
      <c r="I2682" t="s"/>
      <c r="J2682" t="n">
        <v>0.7661</v>
      </c>
      <c r="K2682" t="n">
        <v>0</v>
      </c>
      <c r="L2682" t="n">
        <v>0.616</v>
      </c>
      <c r="M2682" t="n">
        <v>0.384</v>
      </c>
    </row>
    <row r="2683" spans="1:13">
      <c r="A2683" s="1">
        <f>HYPERLINK("http://www.twitter.com/NathanBLawrence/status/907640844274020352", "907640844274020352")</f>
        <v/>
      </c>
      <c r="B2683" s="2" t="n">
        <v>42990.68304398148</v>
      </c>
      <c r="C2683" t="n">
        <v>0</v>
      </c>
      <c r="D2683" t="n">
        <v>1</v>
      </c>
      <c r="E2683" t="s">
        <v>2692</v>
      </c>
      <c r="F2683">
        <f>HYPERLINK("http://pbs.twimg.com/media/DJiVnCxXoAALSHA.jpg", "http://pbs.twimg.com/media/DJiVnCxXoAALSHA.jpg")</f>
        <v/>
      </c>
      <c r="G2683" t="s"/>
      <c r="H2683" t="s"/>
      <c r="I2683" t="s"/>
      <c r="J2683" t="n">
        <v>-0.694</v>
      </c>
      <c r="K2683" t="n">
        <v>0.223</v>
      </c>
      <c r="L2683" t="n">
        <v>0.777</v>
      </c>
      <c r="M2683" t="n">
        <v>0</v>
      </c>
    </row>
    <row r="2684" spans="1:13">
      <c r="A2684" s="1">
        <f>HYPERLINK("http://www.twitter.com/NathanBLawrence/status/907598761349849089", "907598761349849089")</f>
        <v/>
      </c>
      <c r="B2684" s="2" t="n">
        <v>42990.56690972222</v>
      </c>
      <c r="C2684" t="n">
        <v>0</v>
      </c>
      <c r="D2684" t="n">
        <v>0</v>
      </c>
      <c r="E2684" t="s">
        <v>2693</v>
      </c>
      <c r="F2684" t="s"/>
      <c r="G2684" t="s"/>
      <c r="H2684" t="s"/>
      <c r="I2684" t="s"/>
      <c r="J2684" t="n">
        <v>0</v>
      </c>
      <c r="K2684" t="n">
        <v>0</v>
      </c>
      <c r="L2684" t="n">
        <v>1</v>
      </c>
      <c r="M2684" t="n">
        <v>0</v>
      </c>
    </row>
    <row r="2685" spans="1:13">
      <c r="A2685" s="1">
        <f>HYPERLINK("http://www.twitter.com/NathanBLawrence/status/907583085709021184", "907583085709021184")</f>
        <v/>
      </c>
      <c r="B2685" s="2" t="n">
        <v>42990.52365740741</v>
      </c>
      <c r="C2685" t="n">
        <v>1</v>
      </c>
      <c r="D2685" t="n">
        <v>0</v>
      </c>
      <c r="E2685" t="s">
        <v>2694</v>
      </c>
      <c r="F2685" t="s"/>
      <c r="G2685" t="s"/>
      <c r="H2685" t="s"/>
      <c r="I2685" t="s"/>
      <c r="J2685" t="n">
        <v>-0.5266999999999999</v>
      </c>
      <c r="K2685" t="n">
        <v>0.207</v>
      </c>
      <c r="L2685" t="n">
        <v>0.793</v>
      </c>
      <c r="M2685" t="n">
        <v>0</v>
      </c>
    </row>
    <row r="2686" spans="1:13">
      <c r="A2686" s="1">
        <f>HYPERLINK("http://www.twitter.com/NathanBLawrence/status/907296145256235009", "907296145256235009")</f>
        <v/>
      </c>
      <c r="B2686" s="2" t="n">
        <v>42989.73185185185</v>
      </c>
      <c r="C2686" t="n">
        <v>0</v>
      </c>
      <c r="D2686" t="n">
        <v>0</v>
      </c>
      <c r="E2686" t="s">
        <v>2695</v>
      </c>
      <c r="F2686" t="s"/>
      <c r="G2686" t="s"/>
      <c r="H2686" t="s"/>
      <c r="I2686" t="s"/>
      <c r="J2686" t="n">
        <v>0</v>
      </c>
      <c r="K2686" t="n">
        <v>0</v>
      </c>
      <c r="L2686" t="n">
        <v>1</v>
      </c>
      <c r="M2686" t="n">
        <v>0</v>
      </c>
    </row>
    <row r="2687" spans="1:13">
      <c r="A2687" s="1">
        <f>HYPERLINK("http://www.twitter.com/NathanBLawrence/status/907274635825344513", "907274635825344513")</f>
        <v/>
      </c>
      <c r="B2687" s="2" t="n">
        <v>42989.6725</v>
      </c>
      <c r="C2687" t="n">
        <v>1</v>
      </c>
      <c r="D2687" t="n">
        <v>0</v>
      </c>
      <c r="E2687" t="s">
        <v>2696</v>
      </c>
      <c r="F2687" t="s"/>
      <c r="G2687" t="s"/>
      <c r="H2687" t="s"/>
      <c r="I2687" t="s"/>
      <c r="J2687" t="n">
        <v>0</v>
      </c>
      <c r="K2687" t="n">
        <v>0</v>
      </c>
      <c r="L2687" t="n">
        <v>1</v>
      </c>
      <c r="M2687" t="n">
        <v>0</v>
      </c>
    </row>
    <row r="2688" spans="1:13">
      <c r="A2688" s="1">
        <f>HYPERLINK("http://www.twitter.com/NathanBLawrence/status/907238199428354048", "907238199428354048")</f>
        <v/>
      </c>
      <c r="B2688" s="2" t="n">
        <v>42989.57195601852</v>
      </c>
      <c r="C2688" t="n">
        <v>0</v>
      </c>
      <c r="D2688" t="n">
        <v>0</v>
      </c>
      <c r="E2688" t="s">
        <v>2697</v>
      </c>
      <c r="F2688" t="s"/>
      <c r="G2688" t="s"/>
      <c r="H2688" t="s"/>
      <c r="I2688" t="s"/>
      <c r="J2688" t="n">
        <v>0</v>
      </c>
      <c r="K2688" t="n">
        <v>0</v>
      </c>
      <c r="L2688" t="n">
        <v>1</v>
      </c>
      <c r="M2688" t="n">
        <v>0</v>
      </c>
    </row>
    <row r="2689" spans="1:13">
      <c r="A2689" s="1">
        <f>HYPERLINK("http://www.twitter.com/NathanBLawrence/status/906942164642529280", "906942164642529280")</f>
        <v/>
      </c>
      <c r="B2689" s="2" t="n">
        <v>42988.7550462963</v>
      </c>
      <c r="C2689" t="n">
        <v>0</v>
      </c>
      <c r="D2689" t="n">
        <v>65632</v>
      </c>
      <c r="E2689" t="s">
        <v>2698</v>
      </c>
      <c r="F2689">
        <f>HYPERLINK("http://pbs.twimg.com/media/DJVqKQeXoAAxUxA.jpg", "http://pbs.twimg.com/media/DJVqKQeXoAAxUxA.jpg")</f>
        <v/>
      </c>
      <c r="G2689" t="s"/>
      <c r="H2689" t="s"/>
      <c r="I2689" t="s"/>
      <c r="J2689" t="n">
        <v>0</v>
      </c>
      <c r="K2689" t="n">
        <v>0</v>
      </c>
      <c r="L2689" t="n">
        <v>1</v>
      </c>
      <c r="M2689" t="n">
        <v>0</v>
      </c>
    </row>
    <row r="2690" spans="1:13">
      <c r="A2690" s="1">
        <f>HYPERLINK("http://www.twitter.com/NathanBLawrence/status/906934169921638400", "906934169921638400")</f>
        <v/>
      </c>
      <c r="B2690" s="2" t="n">
        <v>42988.73298611111</v>
      </c>
      <c r="C2690" t="n">
        <v>1</v>
      </c>
      <c r="D2690" t="n">
        <v>0</v>
      </c>
      <c r="E2690" t="s">
        <v>2699</v>
      </c>
      <c r="F2690" t="s"/>
      <c r="G2690" t="s"/>
      <c r="H2690" t="s"/>
      <c r="I2690" t="s"/>
      <c r="J2690" t="n">
        <v>0</v>
      </c>
      <c r="K2690" t="n">
        <v>0</v>
      </c>
      <c r="L2690" t="n">
        <v>1</v>
      </c>
      <c r="M2690" t="n">
        <v>0</v>
      </c>
    </row>
    <row r="2691" spans="1:13">
      <c r="A2691" s="1">
        <f>HYPERLINK("http://www.twitter.com/NathanBLawrence/status/906927664832884736", "906927664832884736")</f>
        <v/>
      </c>
      <c r="B2691" s="2" t="n">
        <v>42988.71503472222</v>
      </c>
      <c r="C2691" t="n">
        <v>2</v>
      </c>
      <c r="D2691" t="n">
        <v>0</v>
      </c>
      <c r="E2691" t="s">
        <v>2700</v>
      </c>
      <c r="F2691" t="s"/>
      <c r="G2691" t="s"/>
      <c r="H2691" t="s"/>
      <c r="I2691" t="s"/>
      <c r="J2691" t="n">
        <v>0.3612</v>
      </c>
      <c r="K2691" t="n">
        <v>0</v>
      </c>
      <c r="L2691" t="n">
        <v>0.762</v>
      </c>
      <c r="M2691" t="n">
        <v>0.238</v>
      </c>
    </row>
    <row r="2692" spans="1:13">
      <c r="A2692" s="1">
        <f>HYPERLINK("http://www.twitter.com/NathanBLawrence/status/906918731837829125", "906918731837829125")</f>
        <v/>
      </c>
      <c r="B2692" s="2" t="n">
        <v>42988.69039351852</v>
      </c>
      <c r="C2692" t="n">
        <v>0</v>
      </c>
      <c r="D2692" t="n">
        <v>18</v>
      </c>
      <c r="E2692" t="s">
        <v>2701</v>
      </c>
      <c r="F2692" t="s"/>
      <c r="G2692" t="s"/>
      <c r="H2692" t="s"/>
      <c r="I2692" t="s"/>
      <c r="J2692" t="n">
        <v>-0.3612</v>
      </c>
      <c r="K2692" t="n">
        <v>0.217</v>
      </c>
      <c r="L2692" t="n">
        <v>0.783</v>
      </c>
      <c r="M2692" t="n">
        <v>0</v>
      </c>
    </row>
    <row r="2693" spans="1:13">
      <c r="A2693" s="1">
        <f>HYPERLINK("http://www.twitter.com/NathanBLawrence/status/906724286995591168", "906724286995591168")</f>
        <v/>
      </c>
      <c r="B2693" s="2" t="n">
        <v>42988.15381944444</v>
      </c>
      <c r="C2693" t="n">
        <v>1</v>
      </c>
      <c r="D2693" t="n">
        <v>0</v>
      </c>
      <c r="E2693" t="s">
        <v>2702</v>
      </c>
      <c r="F2693" t="s"/>
      <c r="G2693" t="s"/>
      <c r="H2693" t="s"/>
      <c r="I2693" t="s"/>
      <c r="J2693" t="n">
        <v>0.743</v>
      </c>
      <c r="K2693" t="n">
        <v>0</v>
      </c>
      <c r="L2693" t="n">
        <v>0.656</v>
      </c>
      <c r="M2693" t="n">
        <v>0.344</v>
      </c>
    </row>
    <row r="2694" spans="1:13">
      <c r="A2694" s="1">
        <f>HYPERLINK("http://www.twitter.com/NathanBLawrence/status/906673189820010498", "906673189820010498")</f>
        <v/>
      </c>
      <c r="B2694" s="2" t="n">
        <v>42988.01282407407</v>
      </c>
      <c r="C2694" t="n">
        <v>2</v>
      </c>
      <c r="D2694" t="n">
        <v>1</v>
      </c>
      <c r="E2694" t="s">
        <v>2703</v>
      </c>
      <c r="F2694" t="s"/>
      <c r="G2694" t="s"/>
      <c r="H2694" t="s"/>
      <c r="I2694" t="s"/>
      <c r="J2694" t="n">
        <v>0.3987</v>
      </c>
      <c r="K2694" t="n">
        <v>0</v>
      </c>
      <c r="L2694" t="n">
        <v>0.876</v>
      </c>
      <c r="M2694" t="n">
        <v>0.124</v>
      </c>
    </row>
    <row r="2695" spans="1:13">
      <c r="A2695" s="1">
        <f>HYPERLINK("http://www.twitter.com/NathanBLawrence/status/906652138658582528", "906652138658582528")</f>
        <v/>
      </c>
      <c r="B2695" s="2" t="n">
        <v>42987.95473379629</v>
      </c>
      <c r="C2695" t="n">
        <v>2</v>
      </c>
      <c r="D2695" t="n">
        <v>1</v>
      </c>
      <c r="E2695" t="s">
        <v>2704</v>
      </c>
      <c r="F2695">
        <f>HYPERLINK("http://pbs.twimg.com/media/DJUTT0iV4AEh0NT.jpg", "http://pbs.twimg.com/media/DJUTT0iV4AEh0NT.jpg")</f>
        <v/>
      </c>
      <c r="G2695" t="s"/>
      <c r="H2695" t="s"/>
      <c r="I2695" t="s"/>
      <c r="J2695" t="n">
        <v>0.1779</v>
      </c>
      <c r="K2695" t="n">
        <v>0.124</v>
      </c>
      <c r="L2695" t="n">
        <v>0.698</v>
      </c>
      <c r="M2695" t="n">
        <v>0.178</v>
      </c>
    </row>
    <row r="2696" spans="1:13">
      <c r="A2696" s="1">
        <f>HYPERLINK("http://www.twitter.com/NathanBLawrence/status/906647313044656128", "906647313044656128")</f>
        <v/>
      </c>
      <c r="B2696" s="2" t="n">
        <v>42987.94141203703</v>
      </c>
      <c r="C2696" t="n">
        <v>1</v>
      </c>
      <c r="D2696" t="n">
        <v>0</v>
      </c>
      <c r="E2696" t="s">
        <v>2705</v>
      </c>
      <c r="F2696" t="s"/>
      <c r="G2696" t="s"/>
      <c r="H2696" t="s"/>
      <c r="I2696" t="s"/>
      <c r="J2696" t="n">
        <v>-0.5719</v>
      </c>
      <c r="K2696" t="n">
        <v>0.252</v>
      </c>
      <c r="L2696" t="n">
        <v>0.748</v>
      </c>
      <c r="M2696" t="n">
        <v>0</v>
      </c>
    </row>
    <row r="2697" spans="1:13">
      <c r="A2697" s="1">
        <f>HYPERLINK("http://www.twitter.com/NathanBLawrence/status/906575151025807360", "906575151025807360")</f>
        <v/>
      </c>
      <c r="B2697" s="2" t="n">
        <v>42987.74229166667</v>
      </c>
      <c r="C2697" t="n">
        <v>0</v>
      </c>
      <c r="D2697" t="n">
        <v>0</v>
      </c>
      <c r="E2697" t="s">
        <v>2706</v>
      </c>
      <c r="F2697" t="s"/>
      <c r="G2697" t="s"/>
      <c r="H2697" t="s"/>
      <c r="I2697" t="s"/>
      <c r="J2697" t="n">
        <v>0</v>
      </c>
      <c r="K2697" t="n">
        <v>0</v>
      </c>
      <c r="L2697" t="n">
        <v>1</v>
      </c>
      <c r="M2697" t="n">
        <v>0</v>
      </c>
    </row>
    <row r="2698" spans="1:13">
      <c r="A2698" s="1">
        <f>HYPERLINK("http://www.twitter.com/NathanBLawrence/status/906224532175953920", "906224532175953920")</f>
        <v/>
      </c>
      <c r="B2698" s="2" t="n">
        <v>42986.77475694445</v>
      </c>
      <c r="C2698" t="n">
        <v>0</v>
      </c>
      <c r="D2698" t="n">
        <v>0</v>
      </c>
      <c r="E2698" t="s">
        <v>2707</v>
      </c>
      <c r="F2698" t="s"/>
      <c r="G2698" t="s"/>
      <c r="H2698" t="s"/>
      <c r="I2698" t="s"/>
      <c r="J2698" t="n">
        <v>0</v>
      </c>
      <c r="K2698" t="n">
        <v>0</v>
      </c>
      <c r="L2698" t="n">
        <v>1</v>
      </c>
      <c r="M2698" t="n">
        <v>0</v>
      </c>
    </row>
    <row r="2699" spans="1:13">
      <c r="A2699" s="1">
        <f>HYPERLINK("http://www.twitter.com/NathanBLawrence/status/906173734947520514", "906173734947520514")</f>
        <v/>
      </c>
      <c r="B2699" s="2" t="n">
        <v>42986.63458333333</v>
      </c>
      <c r="C2699" t="n">
        <v>0</v>
      </c>
      <c r="D2699" t="n">
        <v>0</v>
      </c>
      <c r="E2699" t="s">
        <v>2708</v>
      </c>
      <c r="F2699" t="s"/>
      <c r="G2699" t="s"/>
      <c r="H2699" t="s"/>
      <c r="I2699" t="s"/>
      <c r="J2699" t="n">
        <v>0.2732</v>
      </c>
      <c r="K2699" t="n">
        <v>0</v>
      </c>
      <c r="L2699" t="n">
        <v>0.792</v>
      </c>
      <c r="M2699" t="n">
        <v>0.208</v>
      </c>
    </row>
    <row r="2700" spans="1:13">
      <c r="A2700" s="1">
        <f>HYPERLINK("http://www.twitter.com/NathanBLawrence/status/906141270975946752", "906141270975946752")</f>
        <v/>
      </c>
      <c r="B2700" s="2" t="n">
        <v>42986.545</v>
      </c>
      <c r="C2700" t="n">
        <v>0</v>
      </c>
      <c r="D2700" t="n">
        <v>1291</v>
      </c>
      <c r="E2700" t="s">
        <v>2709</v>
      </c>
      <c r="F2700" t="s"/>
      <c r="G2700" t="s"/>
      <c r="H2700" t="s"/>
      <c r="I2700" t="s"/>
      <c r="J2700" t="n">
        <v>0.5473</v>
      </c>
      <c r="K2700" t="n">
        <v>0</v>
      </c>
      <c r="L2700" t="n">
        <v>0.741</v>
      </c>
      <c r="M2700" t="n">
        <v>0.259</v>
      </c>
    </row>
    <row r="2701" spans="1:13">
      <c r="A2701" s="1">
        <f>HYPERLINK("http://www.twitter.com/NathanBLawrence/status/906108744936906752", "906108744936906752")</f>
        <v/>
      </c>
      <c r="B2701" s="2" t="n">
        <v>42986.45525462963</v>
      </c>
      <c r="C2701" t="n">
        <v>2</v>
      </c>
      <c r="D2701" t="n">
        <v>0</v>
      </c>
      <c r="E2701" t="s">
        <v>2710</v>
      </c>
      <c r="F2701" t="s"/>
      <c r="G2701" t="s"/>
      <c r="H2701" t="s"/>
      <c r="I2701" t="s"/>
      <c r="J2701" t="n">
        <v>-0.5106000000000001</v>
      </c>
      <c r="K2701" t="n">
        <v>0.231</v>
      </c>
      <c r="L2701" t="n">
        <v>0.769</v>
      </c>
      <c r="M2701" t="n">
        <v>0</v>
      </c>
    </row>
    <row r="2702" spans="1:13">
      <c r="A2702" s="1">
        <f>HYPERLINK("http://www.twitter.com/NathanBLawrence/status/906100625154375680", "906100625154375680")</f>
        <v/>
      </c>
      <c r="B2702" s="2" t="n">
        <v>42986.43284722222</v>
      </c>
      <c r="C2702" t="n">
        <v>2</v>
      </c>
      <c r="D2702" t="n">
        <v>1</v>
      </c>
      <c r="E2702" t="s">
        <v>2711</v>
      </c>
      <c r="F2702" t="s"/>
      <c r="G2702" t="s"/>
      <c r="H2702" t="s"/>
      <c r="I2702" t="s"/>
      <c r="J2702" t="n">
        <v>0.6486</v>
      </c>
      <c r="K2702" t="n">
        <v>0</v>
      </c>
      <c r="L2702" t="n">
        <v>0.788</v>
      </c>
      <c r="M2702" t="n">
        <v>0.212</v>
      </c>
    </row>
    <row r="2703" spans="1:13">
      <c r="A2703" s="1">
        <f>HYPERLINK("http://www.twitter.com/NathanBLawrence/status/905997581146361856", "905997581146361856")</f>
        <v/>
      </c>
      <c r="B2703" s="2" t="n">
        <v>42986.14849537037</v>
      </c>
      <c r="C2703" t="n">
        <v>0</v>
      </c>
      <c r="D2703" t="n">
        <v>18409</v>
      </c>
      <c r="E2703" t="s">
        <v>2712</v>
      </c>
      <c r="F2703" t="s"/>
      <c r="G2703" t="s"/>
      <c r="H2703" t="s"/>
      <c r="I2703" t="s"/>
      <c r="J2703" t="n">
        <v>0.5562</v>
      </c>
      <c r="K2703" t="n">
        <v>0</v>
      </c>
      <c r="L2703" t="n">
        <v>0.848</v>
      </c>
      <c r="M2703" t="n">
        <v>0.152</v>
      </c>
    </row>
    <row r="2704" spans="1:13">
      <c r="A2704" s="1">
        <f>HYPERLINK("http://www.twitter.com/NathanBLawrence/status/905956287766286337", "905956287766286337")</f>
        <v/>
      </c>
      <c r="B2704" s="2" t="n">
        <v>42986.03454861111</v>
      </c>
      <c r="C2704" t="n">
        <v>1</v>
      </c>
      <c r="D2704" t="n">
        <v>0</v>
      </c>
      <c r="E2704" t="s">
        <v>2713</v>
      </c>
      <c r="F2704" t="s"/>
      <c r="G2704" t="s"/>
      <c r="H2704" t="s"/>
      <c r="I2704" t="s"/>
      <c r="J2704" t="n">
        <v>0.3612</v>
      </c>
      <c r="K2704" t="n">
        <v>0.06</v>
      </c>
      <c r="L2704" t="n">
        <v>0.8149999999999999</v>
      </c>
      <c r="M2704" t="n">
        <v>0.124</v>
      </c>
    </row>
    <row r="2705" spans="1:13">
      <c r="A2705" s="1">
        <f>HYPERLINK("http://www.twitter.com/NathanBLawrence/status/905893868297740288", "905893868297740288")</f>
        <v/>
      </c>
      <c r="B2705" s="2" t="n">
        <v>42985.86230324074</v>
      </c>
      <c r="C2705" t="n">
        <v>0</v>
      </c>
      <c r="D2705" t="n">
        <v>0</v>
      </c>
      <c r="E2705" t="s">
        <v>2714</v>
      </c>
      <c r="F2705" t="s"/>
      <c r="G2705" t="s"/>
      <c r="H2705" t="s"/>
      <c r="I2705" t="s"/>
      <c r="J2705" t="n">
        <v>0</v>
      </c>
      <c r="K2705" t="n">
        <v>0</v>
      </c>
      <c r="L2705" t="n">
        <v>1</v>
      </c>
      <c r="M2705" t="n">
        <v>0</v>
      </c>
    </row>
    <row r="2706" spans="1:13">
      <c r="A2706" s="1">
        <f>HYPERLINK("http://www.twitter.com/NathanBLawrence/status/905834521752371202", "905834521752371202")</f>
        <v/>
      </c>
      <c r="B2706" s="2" t="n">
        <v>42985.69854166666</v>
      </c>
      <c r="C2706" t="n">
        <v>1</v>
      </c>
      <c r="D2706" t="n">
        <v>0</v>
      </c>
      <c r="E2706" t="s">
        <v>2715</v>
      </c>
      <c r="F2706" t="s"/>
      <c r="G2706" t="s"/>
      <c r="H2706" t="s"/>
      <c r="I2706" t="s"/>
      <c r="J2706" t="n">
        <v>0</v>
      </c>
      <c r="K2706" t="n">
        <v>0</v>
      </c>
      <c r="L2706" t="n">
        <v>1</v>
      </c>
      <c r="M2706" t="n">
        <v>0</v>
      </c>
    </row>
    <row r="2707" spans="1:13">
      <c r="A2707" s="1">
        <f>HYPERLINK("http://www.twitter.com/NathanBLawrence/status/905833898122379264", "905833898122379264")</f>
        <v/>
      </c>
      <c r="B2707" s="2" t="n">
        <v>42985.69681712963</v>
      </c>
      <c r="C2707" t="n">
        <v>1</v>
      </c>
      <c r="D2707" t="n">
        <v>0</v>
      </c>
      <c r="E2707" t="s">
        <v>2716</v>
      </c>
      <c r="F2707" t="s"/>
      <c r="G2707" t="s"/>
      <c r="H2707" t="s"/>
      <c r="I2707" t="s"/>
      <c r="J2707" t="n">
        <v>0</v>
      </c>
      <c r="K2707" t="n">
        <v>0</v>
      </c>
      <c r="L2707" t="n">
        <v>1</v>
      </c>
      <c r="M2707" t="n">
        <v>0</v>
      </c>
    </row>
    <row r="2708" spans="1:13">
      <c r="A2708" s="1">
        <f>HYPERLINK("http://www.twitter.com/NathanBLawrence/status/905833216527003649", "905833216527003649")</f>
        <v/>
      </c>
      <c r="B2708" s="2" t="n">
        <v>42985.69494212963</v>
      </c>
      <c r="C2708" t="n">
        <v>0</v>
      </c>
      <c r="D2708" t="n">
        <v>90</v>
      </c>
      <c r="E2708" t="s">
        <v>2717</v>
      </c>
      <c r="F2708">
        <f>HYPERLINK("http://pbs.twimg.com/media/DJIqJ2WXgAA0wPN.jpg", "http://pbs.twimg.com/media/DJIqJ2WXgAA0wPN.jpg")</f>
        <v/>
      </c>
      <c r="G2708" t="s"/>
      <c r="H2708" t="s"/>
      <c r="I2708" t="s"/>
      <c r="J2708" t="n">
        <v>0</v>
      </c>
      <c r="K2708" t="n">
        <v>0</v>
      </c>
      <c r="L2708" t="n">
        <v>1</v>
      </c>
      <c r="M2708" t="n">
        <v>0</v>
      </c>
    </row>
    <row r="2709" spans="1:13">
      <c r="A2709" s="1">
        <f>HYPERLINK("http://www.twitter.com/NathanBLawrence/status/905829212132704257", "905829212132704257")</f>
        <v/>
      </c>
      <c r="B2709" s="2" t="n">
        <v>42985.68388888889</v>
      </c>
      <c r="C2709" t="n">
        <v>0</v>
      </c>
      <c r="D2709" t="n">
        <v>0</v>
      </c>
      <c r="E2709" t="s">
        <v>2718</v>
      </c>
      <c r="F2709" t="s"/>
      <c r="G2709" t="s"/>
      <c r="H2709" t="s"/>
      <c r="I2709" t="s"/>
      <c r="J2709" t="n">
        <v>0.8702</v>
      </c>
      <c r="K2709" t="n">
        <v>0</v>
      </c>
      <c r="L2709" t="n">
        <v>0.404</v>
      </c>
      <c r="M2709" t="n">
        <v>0.596</v>
      </c>
    </row>
    <row r="2710" spans="1:13">
      <c r="A2710" s="1">
        <f>HYPERLINK("http://www.twitter.com/NathanBLawrence/status/905776726650834944", "905776726650834944")</f>
        <v/>
      </c>
      <c r="B2710" s="2" t="n">
        <v>42985.53905092592</v>
      </c>
      <c r="C2710" t="n">
        <v>0</v>
      </c>
      <c r="D2710" t="n">
        <v>0</v>
      </c>
      <c r="E2710" t="s">
        <v>2719</v>
      </c>
      <c r="F2710" t="s"/>
      <c r="G2710" t="s"/>
      <c r="H2710" t="s"/>
      <c r="I2710" t="s"/>
      <c r="J2710" t="n">
        <v>0.3818</v>
      </c>
      <c r="K2710" t="n">
        <v>0.2</v>
      </c>
      <c r="L2710" t="n">
        <v>0.455</v>
      </c>
      <c r="M2710" t="n">
        <v>0.345</v>
      </c>
    </row>
    <row r="2711" spans="1:13">
      <c r="A2711" s="1">
        <f>HYPERLINK("http://www.twitter.com/NathanBLawrence/status/905769879785103360", "905769879785103360")</f>
        <v/>
      </c>
      <c r="B2711" s="2" t="n">
        <v>42985.52016203704</v>
      </c>
      <c r="C2711" t="n">
        <v>0</v>
      </c>
      <c r="D2711" t="n">
        <v>0</v>
      </c>
      <c r="E2711" t="s">
        <v>2720</v>
      </c>
      <c r="F2711" t="s"/>
      <c r="G2711" t="s"/>
      <c r="H2711" t="s"/>
      <c r="I2711" t="s"/>
      <c r="J2711" t="n">
        <v>0.7067</v>
      </c>
      <c r="K2711" t="n">
        <v>0</v>
      </c>
      <c r="L2711" t="n">
        <v>0.649</v>
      </c>
      <c r="M2711" t="n">
        <v>0.351</v>
      </c>
    </row>
    <row r="2712" spans="1:13">
      <c r="A2712" s="1">
        <f>HYPERLINK("http://www.twitter.com/NathanBLawrence/status/905737086833217536", "905737086833217536")</f>
        <v/>
      </c>
      <c r="B2712" s="2" t="n">
        <v>42985.42966435185</v>
      </c>
      <c r="C2712" t="n">
        <v>0</v>
      </c>
      <c r="D2712" t="n">
        <v>0</v>
      </c>
      <c r="E2712" t="s">
        <v>2721</v>
      </c>
      <c r="F2712" t="s"/>
      <c r="G2712" t="s"/>
      <c r="H2712" t="s"/>
      <c r="I2712" t="s"/>
      <c r="J2712" t="n">
        <v>0</v>
      </c>
      <c r="K2712" t="n">
        <v>0</v>
      </c>
      <c r="L2712" t="n">
        <v>1</v>
      </c>
      <c r="M2712" t="n">
        <v>0</v>
      </c>
    </row>
    <row r="2713" spans="1:13">
      <c r="A2713" s="1">
        <f>HYPERLINK("http://www.twitter.com/NathanBLawrence/status/905614760816898048", "905614760816898048")</f>
        <v/>
      </c>
      <c r="B2713" s="2" t="n">
        <v>42985.09211805555</v>
      </c>
      <c r="C2713" t="n">
        <v>0</v>
      </c>
      <c r="D2713" t="n">
        <v>22</v>
      </c>
      <c r="E2713" t="s">
        <v>2722</v>
      </c>
      <c r="F2713" t="s"/>
      <c r="G2713" t="s"/>
      <c r="H2713" t="s"/>
      <c r="I2713" t="s"/>
      <c r="J2713" t="n">
        <v>-0.3612</v>
      </c>
      <c r="K2713" t="n">
        <v>0.102</v>
      </c>
      <c r="L2713" t="n">
        <v>0.898</v>
      </c>
      <c r="M2713" t="n">
        <v>0</v>
      </c>
    </row>
    <row r="2714" spans="1:13">
      <c r="A2714" s="1">
        <f>HYPERLINK("http://www.twitter.com/NathanBLawrence/status/905614730143961088", "905614730143961088")</f>
        <v/>
      </c>
      <c r="B2714" s="2" t="n">
        <v>42985.09202546296</v>
      </c>
      <c r="C2714" t="n">
        <v>0</v>
      </c>
      <c r="D2714" t="n">
        <v>0</v>
      </c>
      <c r="E2714" t="s">
        <v>2723</v>
      </c>
      <c r="F2714" t="s"/>
      <c r="G2714" t="s"/>
      <c r="H2714" t="s"/>
      <c r="I2714" t="s"/>
      <c r="J2714" t="n">
        <v>0.3956</v>
      </c>
      <c r="K2714" t="n">
        <v>0.1</v>
      </c>
      <c r="L2714" t="n">
        <v>0.725</v>
      </c>
      <c r="M2714" t="n">
        <v>0.175</v>
      </c>
    </row>
    <row r="2715" spans="1:13">
      <c r="A2715" s="1">
        <f>HYPERLINK("http://www.twitter.com/NathanBLawrence/status/905569779779604480", "905569779779604480")</f>
        <v/>
      </c>
      <c r="B2715" s="2" t="n">
        <v>42984.96798611111</v>
      </c>
      <c r="C2715" t="n">
        <v>0</v>
      </c>
      <c r="D2715" t="n">
        <v>0</v>
      </c>
      <c r="E2715" t="s">
        <v>2724</v>
      </c>
      <c r="F2715" t="s"/>
      <c r="G2715" t="s"/>
      <c r="H2715" t="s"/>
      <c r="I2715" t="s"/>
      <c r="J2715" t="n">
        <v>0</v>
      </c>
      <c r="K2715" t="n">
        <v>0</v>
      </c>
      <c r="L2715" t="n">
        <v>1</v>
      </c>
      <c r="M2715" t="n">
        <v>0</v>
      </c>
    </row>
    <row r="2716" spans="1:13">
      <c r="A2716" s="1">
        <f>HYPERLINK("http://www.twitter.com/NathanBLawrence/status/905527673379840000", "905527673379840000")</f>
        <v/>
      </c>
      <c r="B2716" s="2" t="n">
        <v>42984.85179398148</v>
      </c>
      <c r="C2716" t="n">
        <v>0</v>
      </c>
      <c r="D2716" t="n">
        <v>0</v>
      </c>
      <c r="E2716" t="s">
        <v>2725</v>
      </c>
      <c r="F2716" t="s"/>
      <c r="G2716" t="s"/>
      <c r="H2716" t="s"/>
      <c r="I2716" t="s"/>
      <c r="J2716" t="n">
        <v>0</v>
      </c>
      <c r="K2716" t="n">
        <v>0</v>
      </c>
      <c r="L2716" t="n">
        <v>1</v>
      </c>
      <c r="M2716" t="n">
        <v>0</v>
      </c>
    </row>
    <row r="2717" spans="1:13">
      <c r="A2717" s="1">
        <f>HYPERLINK("http://www.twitter.com/NathanBLawrence/status/905520425928622080", "905520425928622080")</f>
        <v/>
      </c>
      <c r="B2717" s="2" t="n">
        <v>42984.83179398148</v>
      </c>
      <c r="C2717" t="n">
        <v>0</v>
      </c>
      <c r="D2717" t="n">
        <v>0</v>
      </c>
      <c r="E2717" t="s">
        <v>2726</v>
      </c>
      <c r="F2717" t="s"/>
      <c r="G2717" t="s"/>
      <c r="H2717" t="s"/>
      <c r="I2717" t="s"/>
      <c r="J2717" t="n">
        <v>0.2732</v>
      </c>
      <c r="K2717" t="n">
        <v>0</v>
      </c>
      <c r="L2717" t="n">
        <v>0.741</v>
      </c>
      <c r="M2717" t="n">
        <v>0.259</v>
      </c>
    </row>
    <row r="2718" spans="1:13">
      <c r="A2718" s="1">
        <f>HYPERLINK("http://www.twitter.com/NathanBLawrence/status/905517659873214464", "905517659873214464")</f>
        <v/>
      </c>
      <c r="B2718" s="2" t="n">
        <v>42984.82416666667</v>
      </c>
      <c r="C2718" t="n">
        <v>0</v>
      </c>
      <c r="D2718" t="n">
        <v>0</v>
      </c>
      <c r="E2718" t="s">
        <v>2727</v>
      </c>
      <c r="F2718" t="s"/>
      <c r="G2718" t="s"/>
      <c r="H2718" t="s"/>
      <c r="I2718" t="s"/>
      <c r="J2718" t="n">
        <v>0.4545</v>
      </c>
      <c r="K2718" t="n">
        <v>0</v>
      </c>
      <c r="L2718" t="n">
        <v>0.8139999999999999</v>
      </c>
      <c r="M2718" t="n">
        <v>0.186</v>
      </c>
    </row>
    <row r="2719" spans="1:13">
      <c r="A2719" s="1">
        <f>HYPERLINK("http://www.twitter.com/NathanBLawrence/status/905516420590600192", "905516420590600192")</f>
        <v/>
      </c>
      <c r="B2719" s="2" t="n">
        <v>42984.82075231482</v>
      </c>
      <c r="C2719" t="n">
        <v>0</v>
      </c>
      <c r="D2719" t="n">
        <v>0</v>
      </c>
      <c r="E2719" t="s">
        <v>2728</v>
      </c>
      <c r="F2719" t="s"/>
      <c r="G2719" t="s"/>
      <c r="H2719" t="s"/>
      <c r="I2719" t="s"/>
      <c r="J2719" t="n">
        <v>0.826</v>
      </c>
      <c r="K2719" t="n">
        <v>0</v>
      </c>
      <c r="L2719" t="n">
        <v>0.617</v>
      </c>
      <c r="M2719" t="n">
        <v>0.383</v>
      </c>
    </row>
    <row r="2720" spans="1:13">
      <c r="A2720" s="1">
        <f>HYPERLINK("http://www.twitter.com/NathanBLawrence/status/905513285499408386", "905513285499408386")</f>
        <v/>
      </c>
      <c r="B2720" s="2" t="n">
        <v>42984.81209490741</v>
      </c>
      <c r="C2720" t="n">
        <v>0</v>
      </c>
      <c r="D2720" t="n">
        <v>0</v>
      </c>
      <c r="E2720" t="s">
        <v>2729</v>
      </c>
      <c r="F2720" t="s"/>
      <c r="G2720" t="s"/>
      <c r="H2720" t="s"/>
      <c r="I2720" t="s"/>
      <c r="J2720" t="n">
        <v>-0.3182</v>
      </c>
      <c r="K2720" t="n">
        <v>0.216</v>
      </c>
      <c r="L2720" t="n">
        <v>0.664</v>
      </c>
      <c r="M2720" t="n">
        <v>0.12</v>
      </c>
    </row>
    <row r="2721" spans="1:13">
      <c r="A2721" s="1">
        <f>HYPERLINK("http://www.twitter.com/NathanBLawrence/status/905509755116036098", "905509755116036098")</f>
        <v/>
      </c>
      <c r="B2721" s="2" t="n">
        <v>42984.80234953704</v>
      </c>
      <c r="C2721" t="n">
        <v>1</v>
      </c>
      <c r="D2721" t="n">
        <v>0</v>
      </c>
      <c r="E2721" t="s">
        <v>2730</v>
      </c>
      <c r="F2721" t="s"/>
      <c r="G2721" t="s"/>
      <c r="H2721" t="s"/>
      <c r="I2721" t="s"/>
      <c r="J2721" t="n">
        <v>0.4926</v>
      </c>
      <c r="K2721" t="n">
        <v>0</v>
      </c>
      <c r="L2721" t="n">
        <v>0.792</v>
      </c>
      <c r="M2721" t="n">
        <v>0.208</v>
      </c>
    </row>
    <row r="2722" spans="1:13">
      <c r="A2722" s="1">
        <f>HYPERLINK("http://www.twitter.com/NathanBLawrence/status/905506581986635780", "905506581986635780")</f>
        <v/>
      </c>
      <c r="B2722" s="2" t="n">
        <v>42984.79359953704</v>
      </c>
      <c r="C2722" t="n">
        <v>1</v>
      </c>
      <c r="D2722" t="n">
        <v>0</v>
      </c>
      <c r="E2722" t="s">
        <v>2731</v>
      </c>
      <c r="F2722" t="s"/>
      <c r="G2722" t="s"/>
      <c r="H2722" t="s"/>
      <c r="I2722" t="s"/>
      <c r="J2722" t="n">
        <v>0.4404</v>
      </c>
      <c r="K2722" t="n">
        <v>0</v>
      </c>
      <c r="L2722" t="n">
        <v>0.508</v>
      </c>
      <c r="M2722" t="n">
        <v>0.492</v>
      </c>
    </row>
    <row r="2723" spans="1:13">
      <c r="A2723" s="1">
        <f>HYPERLINK("http://www.twitter.com/NathanBLawrence/status/905464905079431168", "905464905079431168")</f>
        <v/>
      </c>
      <c r="B2723" s="2" t="n">
        <v>42984.67858796296</v>
      </c>
      <c r="C2723" t="n">
        <v>0</v>
      </c>
      <c r="D2723" t="n">
        <v>0</v>
      </c>
      <c r="E2723" t="s">
        <v>2732</v>
      </c>
      <c r="F2723" t="s"/>
      <c r="G2723" t="s"/>
      <c r="H2723" t="s"/>
      <c r="I2723" t="s"/>
      <c r="J2723" t="n">
        <v>-0.4767</v>
      </c>
      <c r="K2723" t="n">
        <v>0.22</v>
      </c>
      <c r="L2723" t="n">
        <v>0.78</v>
      </c>
      <c r="M2723" t="n">
        <v>0</v>
      </c>
    </row>
    <row r="2724" spans="1:13">
      <c r="A2724" s="1">
        <f>HYPERLINK("http://www.twitter.com/NathanBLawrence/status/905245691269742592", "905245691269742592")</f>
        <v/>
      </c>
      <c r="B2724" s="2" t="n">
        <v>42984.07368055556</v>
      </c>
      <c r="C2724" t="n">
        <v>1</v>
      </c>
      <c r="D2724" t="n">
        <v>0</v>
      </c>
      <c r="E2724" t="s">
        <v>2733</v>
      </c>
      <c r="F2724" t="s"/>
      <c r="G2724" t="s"/>
      <c r="H2724" t="s"/>
      <c r="I2724" t="s"/>
      <c r="J2724" t="n">
        <v>0.4939</v>
      </c>
      <c r="K2724" t="n">
        <v>0</v>
      </c>
      <c r="L2724" t="n">
        <v>0.61</v>
      </c>
      <c r="M2724" t="n">
        <v>0.39</v>
      </c>
    </row>
    <row r="2725" spans="1:13">
      <c r="A2725" s="1">
        <f>HYPERLINK("http://www.twitter.com/NathanBLawrence/status/905230956302401536", "905230956302401536")</f>
        <v/>
      </c>
      <c r="B2725" s="2" t="n">
        <v>42984.03302083333</v>
      </c>
      <c r="C2725" t="n">
        <v>0</v>
      </c>
      <c r="D2725" t="n">
        <v>0</v>
      </c>
      <c r="E2725" t="s">
        <v>2734</v>
      </c>
      <c r="F2725" t="s"/>
      <c r="G2725" t="s"/>
      <c r="H2725" t="s"/>
      <c r="I2725" t="s"/>
      <c r="J2725" t="n">
        <v>0.3612</v>
      </c>
      <c r="K2725" t="n">
        <v>0</v>
      </c>
      <c r="L2725" t="n">
        <v>0.857</v>
      </c>
      <c r="M2725" t="n">
        <v>0.143</v>
      </c>
    </row>
    <row r="2726" spans="1:13">
      <c r="A2726" s="1">
        <f>HYPERLINK("http://www.twitter.com/NathanBLawrence/status/905229551319621632", "905229551319621632")</f>
        <v/>
      </c>
      <c r="B2726" s="2" t="n">
        <v>42984.02914351852</v>
      </c>
      <c r="C2726" t="n">
        <v>0</v>
      </c>
      <c r="D2726" t="n">
        <v>0</v>
      </c>
      <c r="E2726" t="s">
        <v>2735</v>
      </c>
      <c r="F2726" t="s"/>
      <c r="G2726" t="s"/>
      <c r="H2726" t="s"/>
      <c r="I2726" t="s"/>
      <c r="J2726" t="n">
        <v>0</v>
      </c>
      <c r="K2726" t="n">
        <v>0</v>
      </c>
      <c r="L2726" t="n">
        <v>1</v>
      </c>
      <c r="M2726" t="n">
        <v>0</v>
      </c>
    </row>
    <row r="2727" spans="1:13">
      <c r="A2727" s="1">
        <f>HYPERLINK("http://www.twitter.com/NathanBLawrence/status/905229124054261760", "905229124054261760")</f>
        <v/>
      </c>
      <c r="B2727" s="2" t="n">
        <v>42984.02796296297</v>
      </c>
      <c r="C2727" t="n">
        <v>0</v>
      </c>
      <c r="D2727" t="n">
        <v>0</v>
      </c>
      <c r="E2727" t="s">
        <v>2736</v>
      </c>
      <c r="F2727" t="s"/>
      <c r="G2727" t="s"/>
      <c r="H2727" t="s"/>
      <c r="I2727" t="s"/>
      <c r="J2727" t="n">
        <v>0.5719</v>
      </c>
      <c r="K2727" t="n">
        <v>0</v>
      </c>
      <c r="L2727" t="n">
        <v>0.351</v>
      </c>
      <c r="M2727" t="n">
        <v>0.649</v>
      </c>
    </row>
    <row r="2728" spans="1:13">
      <c r="A2728" s="1">
        <f>HYPERLINK("http://www.twitter.com/NathanBLawrence/status/905221719379632128", "905221719379632128")</f>
        <v/>
      </c>
      <c r="B2728" s="2" t="n">
        <v>42984.00752314815</v>
      </c>
      <c r="C2728" t="n">
        <v>2</v>
      </c>
      <c r="D2728" t="n">
        <v>0</v>
      </c>
      <c r="E2728" t="s">
        <v>2737</v>
      </c>
      <c r="F2728" t="s"/>
      <c r="G2728" t="s"/>
      <c r="H2728" t="s"/>
      <c r="I2728" t="s"/>
      <c r="J2728" t="n">
        <v>0</v>
      </c>
      <c r="K2728" t="n">
        <v>0</v>
      </c>
      <c r="L2728" t="n">
        <v>1</v>
      </c>
      <c r="M2728" t="n">
        <v>0</v>
      </c>
    </row>
    <row r="2729" spans="1:13">
      <c r="A2729" s="1">
        <f>HYPERLINK("http://www.twitter.com/NathanBLawrence/status/905195055488663552", "905195055488663552")</f>
        <v/>
      </c>
      <c r="B2729" s="2" t="n">
        <v>42983.93394675926</v>
      </c>
      <c r="C2729" t="n">
        <v>2</v>
      </c>
      <c r="D2729" t="n">
        <v>0</v>
      </c>
      <c r="E2729" t="s">
        <v>2738</v>
      </c>
      <c r="F2729" t="s"/>
      <c r="G2729" t="s"/>
      <c r="H2729" t="s"/>
      <c r="I2729" t="s"/>
      <c r="J2729" t="n">
        <v>0</v>
      </c>
      <c r="K2729" t="n">
        <v>0</v>
      </c>
      <c r="L2729" t="n">
        <v>1</v>
      </c>
      <c r="M2729" t="n">
        <v>0</v>
      </c>
    </row>
    <row r="2730" spans="1:13">
      <c r="A2730" s="1">
        <f>HYPERLINK("http://www.twitter.com/NathanBLawrence/status/905151045139140608", "905151045139140608")</f>
        <v/>
      </c>
      <c r="B2730" s="2" t="n">
        <v>42983.8125</v>
      </c>
      <c r="C2730" t="n">
        <v>0</v>
      </c>
      <c r="D2730" t="n">
        <v>16330</v>
      </c>
      <c r="E2730" t="s">
        <v>2739</v>
      </c>
      <c r="F2730" t="s"/>
      <c r="G2730" t="s"/>
      <c r="H2730" t="s"/>
      <c r="I2730" t="s"/>
      <c r="J2730" t="n">
        <v>0.4588</v>
      </c>
      <c r="K2730" t="n">
        <v>0</v>
      </c>
      <c r="L2730" t="n">
        <v>0.769</v>
      </c>
      <c r="M2730" t="n">
        <v>0.231</v>
      </c>
    </row>
    <row r="2731" spans="1:13">
      <c r="A2731" s="1">
        <f>HYPERLINK("http://www.twitter.com/NathanBLawrence/status/905140113797206016", "905140113797206016")</f>
        <v/>
      </c>
      <c r="B2731" s="2" t="n">
        <v>42983.78233796296</v>
      </c>
      <c r="C2731" t="n">
        <v>1</v>
      </c>
      <c r="D2731" t="n">
        <v>0</v>
      </c>
      <c r="E2731" t="s">
        <v>2740</v>
      </c>
      <c r="F2731" t="s"/>
      <c r="G2731" t="s"/>
      <c r="H2731" t="s"/>
      <c r="I2731" t="s"/>
      <c r="J2731" t="n">
        <v>0</v>
      </c>
      <c r="K2731" t="n">
        <v>0</v>
      </c>
      <c r="L2731" t="n">
        <v>1</v>
      </c>
      <c r="M2731" t="n">
        <v>0</v>
      </c>
    </row>
    <row r="2732" spans="1:13">
      <c r="A2732" s="1">
        <f>HYPERLINK("http://www.twitter.com/NathanBLawrence/status/904522733266108416", "904522733266108416")</f>
        <v/>
      </c>
      <c r="B2732" s="2" t="n">
        <v>42982.07869212963</v>
      </c>
      <c r="C2732" t="n">
        <v>1</v>
      </c>
      <c r="D2732" t="n">
        <v>0</v>
      </c>
      <c r="E2732" t="s">
        <v>2741</v>
      </c>
      <c r="F2732" t="s"/>
      <c r="G2732" t="s"/>
      <c r="H2732" t="s"/>
      <c r="I2732" t="s"/>
      <c r="J2732" t="n">
        <v>0</v>
      </c>
      <c r="K2732" t="n">
        <v>0</v>
      </c>
      <c r="L2732" t="n">
        <v>1</v>
      </c>
      <c r="M2732" t="n">
        <v>0</v>
      </c>
    </row>
    <row r="2733" spans="1:13">
      <c r="A2733" s="1">
        <f>HYPERLINK("http://www.twitter.com/NathanBLawrence/status/903832176105578497", "903832176105578497")</f>
        <v/>
      </c>
      <c r="B2733" s="2" t="n">
        <v>42980.17311342592</v>
      </c>
      <c r="C2733" t="n">
        <v>1</v>
      </c>
      <c r="D2733" t="n">
        <v>0</v>
      </c>
      <c r="E2733" t="s">
        <v>2742</v>
      </c>
      <c r="F2733" t="s"/>
      <c r="G2733" t="s"/>
      <c r="H2733" t="s"/>
      <c r="I2733" t="s"/>
      <c r="J2733" t="n">
        <v>0</v>
      </c>
      <c r="K2733" t="n">
        <v>0</v>
      </c>
      <c r="L2733" t="n">
        <v>1</v>
      </c>
      <c r="M2733" t="n">
        <v>0</v>
      </c>
    </row>
    <row r="2734" spans="1:13">
      <c r="A2734" s="1">
        <f>HYPERLINK("http://www.twitter.com/NathanBLawrence/status/903607991550832640", "903607991550832640")</f>
        <v/>
      </c>
      <c r="B2734" s="2" t="n">
        <v>42979.55449074074</v>
      </c>
      <c r="C2734" t="n">
        <v>0</v>
      </c>
      <c r="D2734" t="n">
        <v>1144006</v>
      </c>
      <c r="E2734" t="s">
        <v>2743</v>
      </c>
      <c r="F2734">
        <f>HYPERLINK("http://pbs.twimg.com/media/DIf-zGLXcAA5OEW.jpg", "http://pbs.twimg.com/media/DIf-zGLXcAA5OEW.jpg")</f>
        <v/>
      </c>
      <c r="G2734" t="s"/>
      <c r="H2734" t="s"/>
      <c r="I2734" t="s"/>
      <c r="J2734" t="n">
        <v>-0.2003</v>
      </c>
      <c r="K2734" t="n">
        <v>0.117</v>
      </c>
      <c r="L2734" t="n">
        <v>0.796</v>
      </c>
      <c r="M2734" t="n">
        <v>0.08699999999999999</v>
      </c>
    </row>
    <row r="2735" spans="1:13">
      <c r="A2735" s="1">
        <f>HYPERLINK("http://www.twitter.com/NathanBLawrence/status/903607854921379840", "903607854921379840")</f>
        <v/>
      </c>
      <c r="B2735" s="2" t="n">
        <v>42979.5541087963</v>
      </c>
      <c r="C2735" t="n">
        <v>1</v>
      </c>
      <c r="D2735" t="n">
        <v>0</v>
      </c>
      <c r="E2735" t="s">
        <v>2744</v>
      </c>
      <c r="F2735" t="s"/>
      <c r="G2735" t="s"/>
      <c r="H2735" t="s"/>
      <c r="I2735" t="s"/>
      <c r="J2735" t="n">
        <v>-0.2263</v>
      </c>
      <c r="K2735" t="n">
        <v>0.213</v>
      </c>
      <c r="L2735" t="n">
        <v>0.787</v>
      </c>
      <c r="M2735" t="n">
        <v>0</v>
      </c>
    </row>
    <row r="2736" spans="1:13">
      <c r="A2736" s="1">
        <f>HYPERLINK("http://www.twitter.com/NathanBLawrence/status/903406131908894720", "903406131908894720")</f>
        <v/>
      </c>
      <c r="B2736" s="2" t="n">
        <v>42978.99745370371</v>
      </c>
      <c r="C2736" t="n">
        <v>0</v>
      </c>
      <c r="D2736" t="n">
        <v>0</v>
      </c>
      <c r="E2736" t="s">
        <v>2745</v>
      </c>
      <c r="F2736" t="s"/>
      <c r="G2736" t="s"/>
      <c r="H2736" t="s"/>
      <c r="I2736" t="s"/>
      <c r="J2736" t="n">
        <v>0.2235</v>
      </c>
      <c r="K2736" t="n">
        <v>0</v>
      </c>
      <c r="L2736" t="n">
        <v>0.9</v>
      </c>
      <c r="M2736" t="n">
        <v>0.1</v>
      </c>
    </row>
    <row r="2737" spans="1:13">
      <c r="A2737" s="1">
        <f>HYPERLINK("http://www.twitter.com/NathanBLawrence/status/903398735077662721", "903398735077662721")</f>
        <v/>
      </c>
      <c r="B2737" s="2" t="n">
        <v>42978.97704861111</v>
      </c>
      <c r="C2737" t="n">
        <v>0</v>
      </c>
      <c r="D2737" t="n">
        <v>0</v>
      </c>
      <c r="E2737" t="s">
        <v>2746</v>
      </c>
      <c r="F2737" t="s"/>
      <c r="G2737" t="s"/>
      <c r="H2737" t="s"/>
      <c r="I2737" t="s"/>
      <c r="J2737" t="n">
        <v>0</v>
      </c>
      <c r="K2737" t="n">
        <v>0</v>
      </c>
      <c r="L2737" t="n">
        <v>1</v>
      </c>
      <c r="M2737" t="n">
        <v>0</v>
      </c>
    </row>
    <row r="2738" spans="1:13">
      <c r="A2738" s="1">
        <f>HYPERLINK("http://www.twitter.com/NathanBLawrence/status/903245895118020608", "903245895118020608")</f>
        <v/>
      </c>
      <c r="B2738" s="2" t="n">
        <v>42978.55528935185</v>
      </c>
      <c r="C2738" t="n">
        <v>0</v>
      </c>
      <c r="D2738" t="n">
        <v>0</v>
      </c>
      <c r="E2738" t="s">
        <v>2747</v>
      </c>
      <c r="F2738" t="s"/>
      <c r="G2738" t="s"/>
      <c r="H2738" t="s"/>
      <c r="I2738" t="s"/>
      <c r="J2738" t="n">
        <v>-0.3412</v>
      </c>
      <c r="K2738" t="n">
        <v>0.147</v>
      </c>
      <c r="L2738" t="n">
        <v>0.853</v>
      </c>
      <c r="M2738" t="n">
        <v>0</v>
      </c>
    </row>
    <row r="2739" spans="1:13">
      <c r="A2739" s="1">
        <f>HYPERLINK("http://www.twitter.com/NathanBLawrence/status/902982670543712257", "902982670543712257")</f>
        <v/>
      </c>
      <c r="B2739" s="2" t="n">
        <v>42977.82892361111</v>
      </c>
      <c r="C2739" t="n">
        <v>1</v>
      </c>
      <c r="D2739" t="n">
        <v>0</v>
      </c>
      <c r="E2739" t="s">
        <v>2748</v>
      </c>
      <c r="F2739" t="s"/>
      <c r="G2739" t="s"/>
      <c r="H2739" t="s"/>
      <c r="I2739" t="s"/>
      <c r="J2739" t="n">
        <v>0.7269</v>
      </c>
      <c r="K2739" t="n">
        <v>0.06</v>
      </c>
      <c r="L2739" t="n">
        <v>0.6899999999999999</v>
      </c>
      <c r="M2739" t="n">
        <v>0.251</v>
      </c>
    </row>
    <row r="2740" spans="1:13">
      <c r="A2740" s="1">
        <f>HYPERLINK("http://www.twitter.com/NathanBLawrence/status/902971544527400961", "902971544527400961")</f>
        <v/>
      </c>
      <c r="B2740" s="2" t="n">
        <v>42977.79822916666</v>
      </c>
      <c r="C2740" t="n">
        <v>0</v>
      </c>
      <c r="D2740" t="n">
        <v>0</v>
      </c>
      <c r="E2740" t="s">
        <v>2749</v>
      </c>
      <c r="F2740" t="s"/>
      <c r="G2740" t="s"/>
      <c r="H2740" t="s"/>
      <c r="I2740" t="s"/>
      <c r="J2740" t="n">
        <v>0</v>
      </c>
      <c r="K2740" t="n">
        <v>0</v>
      </c>
      <c r="L2740" t="n">
        <v>1</v>
      </c>
      <c r="M2740" t="n">
        <v>0</v>
      </c>
    </row>
    <row r="2741" spans="1:13">
      <c r="A2741" s="1">
        <f>HYPERLINK("http://www.twitter.com/NathanBLawrence/status/902952585392508929", "902952585392508929")</f>
        <v/>
      </c>
      <c r="B2741" s="2" t="n">
        <v>42977.74591435185</v>
      </c>
      <c r="C2741" t="n">
        <v>2</v>
      </c>
      <c r="D2741" t="n">
        <v>1</v>
      </c>
      <c r="E2741" t="s">
        <v>2750</v>
      </c>
      <c r="F2741" t="s"/>
      <c r="G2741" t="s"/>
      <c r="H2741" t="s"/>
      <c r="I2741" t="s"/>
      <c r="J2741" t="n">
        <v>0.6331</v>
      </c>
      <c r="K2741" t="n">
        <v>0</v>
      </c>
      <c r="L2741" t="n">
        <v>0.657</v>
      </c>
      <c r="M2741" t="n">
        <v>0.343</v>
      </c>
    </row>
    <row r="2742" spans="1:13">
      <c r="A2742" s="1">
        <f>HYPERLINK("http://www.twitter.com/NathanBLawrence/status/902951056824512518", "902951056824512518")</f>
        <v/>
      </c>
      <c r="B2742" s="2" t="n">
        <v>42977.74168981481</v>
      </c>
      <c r="C2742" t="n">
        <v>0</v>
      </c>
      <c r="D2742" t="n">
        <v>0</v>
      </c>
      <c r="E2742" t="s">
        <v>2751</v>
      </c>
      <c r="F2742" t="s"/>
      <c r="G2742" t="s"/>
      <c r="H2742" t="s"/>
      <c r="I2742" t="s"/>
      <c r="J2742" t="n">
        <v>0.6249</v>
      </c>
      <c r="K2742" t="n">
        <v>0</v>
      </c>
      <c r="L2742" t="n">
        <v>0.849</v>
      </c>
      <c r="M2742" t="n">
        <v>0.151</v>
      </c>
    </row>
    <row r="2743" spans="1:13">
      <c r="A2743" s="1">
        <f>HYPERLINK("http://www.twitter.com/NathanBLawrence/status/902948767552417793", "902948767552417793")</f>
        <v/>
      </c>
      <c r="B2743" s="2" t="n">
        <v>42977.73537037037</v>
      </c>
      <c r="C2743" t="n">
        <v>0</v>
      </c>
      <c r="D2743" t="n">
        <v>0</v>
      </c>
      <c r="E2743" t="s">
        <v>2752</v>
      </c>
      <c r="F2743" t="s"/>
      <c r="G2743" t="s"/>
      <c r="H2743" t="s"/>
      <c r="I2743" t="s"/>
      <c r="J2743" t="n">
        <v>0</v>
      </c>
      <c r="K2743" t="n">
        <v>0</v>
      </c>
      <c r="L2743" t="n">
        <v>1</v>
      </c>
      <c r="M2743" t="n">
        <v>0</v>
      </c>
    </row>
    <row r="2744" spans="1:13">
      <c r="A2744" s="1">
        <f>HYPERLINK("http://www.twitter.com/NathanBLawrence/status/902947052858036224", "902947052858036224")</f>
        <v/>
      </c>
      <c r="B2744" s="2" t="n">
        <v>42977.73064814815</v>
      </c>
      <c r="C2744" t="n">
        <v>4</v>
      </c>
      <c r="D2744" t="n">
        <v>0</v>
      </c>
      <c r="E2744" t="s">
        <v>2753</v>
      </c>
      <c r="F2744" t="s"/>
      <c r="G2744" t="s"/>
      <c r="H2744" t="s"/>
      <c r="I2744" t="s"/>
      <c r="J2744" t="n">
        <v>0.5719</v>
      </c>
      <c r="K2744" t="n">
        <v>0</v>
      </c>
      <c r="L2744" t="n">
        <v>0.619</v>
      </c>
      <c r="M2744" t="n">
        <v>0.381</v>
      </c>
    </row>
    <row r="2745" spans="1:13">
      <c r="A2745" s="1">
        <f>HYPERLINK("http://www.twitter.com/NathanBLawrence/status/902944382084624391", "902944382084624391")</f>
        <v/>
      </c>
      <c r="B2745" s="2" t="n">
        <v>42977.72327546297</v>
      </c>
      <c r="C2745" t="n">
        <v>0</v>
      </c>
      <c r="D2745" t="n">
        <v>8234</v>
      </c>
      <c r="E2745" t="s">
        <v>2754</v>
      </c>
      <c r="F2745">
        <f>HYPERLINK("http://pbs.twimg.com/media/DIewVbOVAAAjQt0.jpg", "http://pbs.twimg.com/media/DIewVbOVAAAjQt0.jpg")</f>
        <v/>
      </c>
      <c r="G2745" t="s"/>
      <c r="H2745" t="s"/>
      <c r="I2745" t="s"/>
      <c r="J2745" t="n">
        <v>0.0772</v>
      </c>
      <c r="K2745" t="n">
        <v>0</v>
      </c>
      <c r="L2745" t="n">
        <v>0.9419999999999999</v>
      </c>
      <c r="M2745" t="n">
        <v>0.058</v>
      </c>
    </row>
    <row r="2746" spans="1:13">
      <c r="A2746" s="1">
        <f>HYPERLINK("http://www.twitter.com/NathanBLawrence/status/902943044022013954", "902943044022013954")</f>
        <v/>
      </c>
      <c r="B2746" s="2" t="n">
        <v>42977.71958333333</v>
      </c>
      <c r="C2746" t="n">
        <v>3</v>
      </c>
      <c r="D2746" t="n">
        <v>0</v>
      </c>
      <c r="E2746" t="s">
        <v>2755</v>
      </c>
      <c r="F2746" t="s"/>
      <c r="G2746" t="s"/>
      <c r="H2746" t="s"/>
      <c r="I2746" t="s"/>
      <c r="J2746" t="n">
        <v>0.4404</v>
      </c>
      <c r="K2746" t="n">
        <v>0</v>
      </c>
      <c r="L2746" t="n">
        <v>0.805</v>
      </c>
      <c r="M2746" t="n">
        <v>0.195</v>
      </c>
    </row>
    <row r="2747" spans="1:13">
      <c r="A2747" s="1">
        <f>HYPERLINK("http://www.twitter.com/NathanBLawrence/status/902930968113229825", "902930968113229825")</f>
        <v/>
      </c>
      <c r="B2747" s="2" t="n">
        <v>42977.68626157408</v>
      </c>
      <c r="C2747" t="n">
        <v>0</v>
      </c>
      <c r="D2747" t="n">
        <v>0</v>
      </c>
      <c r="E2747" t="s">
        <v>2756</v>
      </c>
      <c r="F2747" t="s"/>
      <c r="G2747" t="s"/>
      <c r="H2747" t="s"/>
      <c r="I2747" t="s"/>
      <c r="J2747" t="n">
        <v>0</v>
      </c>
      <c r="K2747" t="n">
        <v>0</v>
      </c>
      <c r="L2747" t="n">
        <v>1</v>
      </c>
      <c r="M2747" t="n">
        <v>0</v>
      </c>
    </row>
    <row r="2748" spans="1:13">
      <c r="A2748" s="1">
        <f>HYPERLINK("http://www.twitter.com/NathanBLawrence/status/902930075196252162", "902930075196252162")</f>
        <v/>
      </c>
      <c r="B2748" s="2" t="n">
        <v>42977.6837962963</v>
      </c>
      <c r="C2748" t="n">
        <v>0</v>
      </c>
      <c r="D2748" t="n">
        <v>0</v>
      </c>
      <c r="E2748" t="s">
        <v>2757</v>
      </c>
      <c r="F2748" t="s"/>
      <c r="G2748" t="s"/>
      <c r="H2748" t="s"/>
      <c r="I2748" t="s"/>
      <c r="J2748" t="n">
        <v>-0.4404</v>
      </c>
      <c r="K2748" t="n">
        <v>0.209</v>
      </c>
      <c r="L2748" t="n">
        <v>0.791</v>
      </c>
      <c r="M2748" t="n">
        <v>0</v>
      </c>
    </row>
    <row r="2749" spans="1:13">
      <c r="A2749" s="1">
        <f>HYPERLINK("http://www.twitter.com/NathanBLawrence/status/902923001695535106", "902923001695535106")</f>
        <v/>
      </c>
      <c r="B2749" s="2" t="n">
        <v>42977.66427083333</v>
      </c>
      <c r="C2749" t="n">
        <v>0</v>
      </c>
      <c r="D2749" t="n">
        <v>0</v>
      </c>
      <c r="E2749" t="s">
        <v>2758</v>
      </c>
      <c r="F2749" t="s"/>
      <c r="G2749" t="s"/>
      <c r="H2749" t="s"/>
      <c r="I2749" t="s"/>
      <c r="J2749" t="n">
        <v>0</v>
      </c>
      <c r="K2749" t="n">
        <v>0</v>
      </c>
      <c r="L2749" t="n">
        <v>1</v>
      </c>
      <c r="M2749" t="n">
        <v>0</v>
      </c>
    </row>
    <row r="2750" spans="1:13">
      <c r="A2750" s="1">
        <f>HYPERLINK("http://www.twitter.com/NathanBLawrence/status/902904219614707712", "902904219614707712")</f>
        <v/>
      </c>
      <c r="B2750" s="2" t="n">
        <v>42977.61244212963</v>
      </c>
      <c r="C2750" t="n">
        <v>0</v>
      </c>
      <c r="D2750" t="n">
        <v>0</v>
      </c>
      <c r="E2750" t="s">
        <v>2759</v>
      </c>
      <c r="F2750" t="s"/>
      <c r="G2750" t="s"/>
      <c r="H2750" t="s"/>
      <c r="I2750" t="s"/>
      <c r="J2750" t="n">
        <v>0</v>
      </c>
      <c r="K2750" t="n">
        <v>0</v>
      </c>
      <c r="L2750" t="n">
        <v>1</v>
      </c>
      <c r="M2750" t="n">
        <v>0</v>
      </c>
    </row>
    <row r="2751" spans="1:13">
      <c r="A2751" s="1">
        <f>HYPERLINK("http://www.twitter.com/NathanBLawrence/status/902886892638797824", "902886892638797824")</f>
        <v/>
      </c>
      <c r="B2751" s="2" t="n">
        <v>42977.56462962963</v>
      </c>
      <c r="C2751" t="n">
        <v>0</v>
      </c>
      <c r="D2751" t="n">
        <v>51</v>
      </c>
      <c r="E2751" t="s">
        <v>2760</v>
      </c>
      <c r="F2751">
        <f>HYPERLINK("http://pbs.twimg.com/media/DIeyKfiUIAE6zkM.jpg", "http://pbs.twimg.com/media/DIeyKfiUIAE6zkM.jpg")</f>
        <v/>
      </c>
      <c r="G2751" t="s"/>
      <c r="H2751" t="s"/>
      <c r="I2751" t="s"/>
      <c r="J2751" t="n">
        <v>0</v>
      </c>
      <c r="K2751" t="n">
        <v>0</v>
      </c>
      <c r="L2751" t="n">
        <v>1</v>
      </c>
      <c r="M2751" t="n">
        <v>0</v>
      </c>
    </row>
    <row r="2752" spans="1:13">
      <c r="A2752" s="1">
        <f>HYPERLINK("http://www.twitter.com/NathanBLawrence/status/902883877986992128", "902883877986992128")</f>
        <v/>
      </c>
      <c r="B2752" s="2" t="n">
        <v>42977.55630787037</v>
      </c>
      <c r="C2752" t="n">
        <v>1</v>
      </c>
      <c r="D2752" t="n">
        <v>0</v>
      </c>
      <c r="E2752" t="s">
        <v>2761</v>
      </c>
      <c r="F2752" t="s"/>
      <c r="G2752" t="s"/>
      <c r="H2752" t="s"/>
      <c r="I2752" t="s"/>
      <c r="J2752" t="n">
        <v>0.8122</v>
      </c>
      <c r="K2752" t="n">
        <v>0</v>
      </c>
      <c r="L2752" t="n">
        <v>0.73</v>
      </c>
      <c r="M2752" t="n">
        <v>0.27</v>
      </c>
    </row>
    <row r="2753" spans="1:13">
      <c r="A2753" s="1">
        <f>HYPERLINK("http://www.twitter.com/NathanBLawrence/status/902882777888063489", "902882777888063489")</f>
        <v/>
      </c>
      <c r="B2753" s="2" t="n">
        <v>42977.55327546296</v>
      </c>
      <c r="C2753" t="n">
        <v>1</v>
      </c>
      <c r="D2753" t="n">
        <v>0</v>
      </c>
      <c r="E2753" t="s">
        <v>2762</v>
      </c>
      <c r="F2753" t="s"/>
      <c r="G2753" t="s"/>
      <c r="H2753" t="s"/>
      <c r="I2753" t="s"/>
      <c r="J2753" t="n">
        <v>0</v>
      </c>
      <c r="K2753" t="n">
        <v>0</v>
      </c>
      <c r="L2753" t="n">
        <v>1</v>
      </c>
      <c r="M2753" t="n">
        <v>0</v>
      </c>
    </row>
    <row r="2754" spans="1:13">
      <c r="A2754" s="1">
        <f>HYPERLINK("http://www.twitter.com/NathanBLawrence/status/902699222272749568", "902699222272749568")</f>
        <v/>
      </c>
      <c r="B2754" s="2" t="n">
        <v>42977.04675925926</v>
      </c>
      <c r="C2754" t="n">
        <v>1</v>
      </c>
      <c r="D2754" t="n">
        <v>0</v>
      </c>
      <c r="E2754" t="s">
        <v>2763</v>
      </c>
      <c r="F2754" t="s"/>
      <c r="G2754" t="s"/>
      <c r="H2754" t="s"/>
      <c r="I2754" t="s"/>
      <c r="J2754" t="n">
        <v>0.6249</v>
      </c>
      <c r="K2754" t="n">
        <v>0</v>
      </c>
      <c r="L2754" t="n">
        <v>0.718</v>
      </c>
      <c r="M2754" t="n">
        <v>0.282</v>
      </c>
    </row>
    <row r="2755" spans="1:13">
      <c r="A2755" s="1">
        <f>HYPERLINK("http://www.twitter.com/NathanBLawrence/status/902697928715853824", "902697928715853824")</f>
        <v/>
      </c>
      <c r="B2755" s="2" t="n">
        <v>42977.04319444444</v>
      </c>
      <c r="C2755" t="n">
        <v>0</v>
      </c>
      <c r="D2755" t="n">
        <v>0</v>
      </c>
      <c r="E2755" t="s">
        <v>2764</v>
      </c>
      <c r="F2755" t="s"/>
      <c r="G2755" t="s"/>
      <c r="H2755" t="s"/>
      <c r="I2755" t="s"/>
      <c r="J2755" t="n">
        <v>0</v>
      </c>
      <c r="K2755" t="n">
        <v>0</v>
      </c>
      <c r="L2755" t="n">
        <v>1</v>
      </c>
      <c r="M2755" t="n">
        <v>0</v>
      </c>
    </row>
    <row r="2756" spans="1:13">
      <c r="A2756" s="1">
        <f>HYPERLINK("http://www.twitter.com/NathanBLawrence/status/902566871408435200", "902566871408435200")</f>
        <v/>
      </c>
      <c r="B2756" s="2" t="n">
        <v>42976.68153935186</v>
      </c>
      <c r="C2756" t="n">
        <v>0</v>
      </c>
      <c r="D2756" t="n">
        <v>0</v>
      </c>
      <c r="E2756" t="s">
        <v>2765</v>
      </c>
      <c r="F2756" t="s"/>
      <c r="G2756" t="s"/>
      <c r="H2756" t="s"/>
      <c r="I2756" t="s"/>
      <c r="J2756" t="n">
        <v>0</v>
      </c>
      <c r="K2756" t="n">
        <v>0</v>
      </c>
      <c r="L2756" t="n">
        <v>1</v>
      </c>
      <c r="M2756" t="n">
        <v>0</v>
      </c>
    </row>
    <row r="2757" spans="1:13">
      <c r="A2757" s="1">
        <f>HYPERLINK("http://www.twitter.com/NathanBLawrence/status/902561493622943745", "902561493622943745")</f>
        <v/>
      </c>
      <c r="B2757" s="2" t="n">
        <v>42976.66670138889</v>
      </c>
      <c r="C2757" t="n">
        <v>0</v>
      </c>
      <c r="D2757" t="n">
        <v>50630</v>
      </c>
      <c r="E2757" t="s">
        <v>2766</v>
      </c>
      <c r="F2757">
        <f>HYPERLINK("http://pbs.twimg.com/media/DIZ3DqaV4AIZC0p.jpg", "http://pbs.twimg.com/media/DIZ3DqaV4AIZC0p.jpg")</f>
        <v/>
      </c>
      <c r="G2757" t="s"/>
      <c r="H2757" t="s"/>
      <c r="I2757" t="s"/>
      <c r="J2757" t="n">
        <v>-0.0572</v>
      </c>
      <c r="K2757" t="n">
        <v>0.236</v>
      </c>
      <c r="L2757" t="n">
        <v>0.571</v>
      </c>
      <c r="M2757" t="n">
        <v>0.193</v>
      </c>
    </row>
    <row r="2758" spans="1:13">
      <c r="A2758" s="1">
        <f>HYPERLINK("http://www.twitter.com/NathanBLawrence/status/902539003215400961", "902539003215400961")</f>
        <v/>
      </c>
      <c r="B2758" s="2" t="n">
        <v>42976.6046412037</v>
      </c>
      <c r="C2758" t="n">
        <v>1</v>
      </c>
      <c r="D2758" t="n">
        <v>1</v>
      </c>
      <c r="E2758" t="s">
        <v>2767</v>
      </c>
      <c r="F2758" t="s"/>
      <c r="G2758" t="s"/>
      <c r="H2758" t="s"/>
      <c r="I2758" t="s"/>
      <c r="J2758" t="n">
        <v>0</v>
      </c>
      <c r="K2758" t="n">
        <v>0</v>
      </c>
      <c r="L2758" t="n">
        <v>1</v>
      </c>
      <c r="M2758" t="n">
        <v>0</v>
      </c>
    </row>
    <row r="2759" spans="1:13">
      <c r="A2759" s="1">
        <f>HYPERLINK("http://www.twitter.com/NathanBLawrence/status/902538141717975041", "902538141717975041")</f>
        <v/>
      </c>
      <c r="B2759" s="2" t="n">
        <v>42976.60225694445</v>
      </c>
      <c r="C2759" t="n">
        <v>0</v>
      </c>
      <c r="D2759" t="n">
        <v>0</v>
      </c>
      <c r="E2759" t="s">
        <v>2768</v>
      </c>
      <c r="F2759" t="s"/>
      <c r="G2759" t="s"/>
      <c r="H2759" t="s"/>
      <c r="I2759" t="s"/>
      <c r="J2759" t="n">
        <v>0</v>
      </c>
      <c r="K2759" t="n">
        <v>0</v>
      </c>
      <c r="L2759" t="n">
        <v>1</v>
      </c>
      <c r="M2759" t="n">
        <v>0</v>
      </c>
    </row>
    <row r="2760" spans="1:13">
      <c r="A2760" s="1">
        <f>HYPERLINK("http://www.twitter.com/NathanBLawrence/status/902525313879560192", "902525313879560192")</f>
        <v/>
      </c>
      <c r="B2760" s="2" t="n">
        <v>42976.56686342593</v>
      </c>
      <c r="C2760" t="n">
        <v>1</v>
      </c>
      <c r="D2760" t="n">
        <v>0</v>
      </c>
      <c r="E2760" t="s">
        <v>2769</v>
      </c>
      <c r="F2760" t="s"/>
      <c r="G2760" t="s"/>
      <c r="H2760" t="s"/>
      <c r="I2760" t="s"/>
      <c r="J2760" t="n">
        <v>-0.7758</v>
      </c>
      <c r="K2760" t="n">
        <v>0.261</v>
      </c>
      <c r="L2760" t="n">
        <v>0.739</v>
      </c>
      <c r="M2760" t="n">
        <v>0</v>
      </c>
    </row>
    <row r="2761" spans="1:13">
      <c r="A2761" s="1">
        <f>HYPERLINK("http://www.twitter.com/NathanBLawrence/status/902375408712249344", "902375408712249344")</f>
        <v/>
      </c>
      <c r="B2761" s="2" t="n">
        <v>42976.15320601852</v>
      </c>
      <c r="C2761" t="n">
        <v>0</v>
      </c>
      <c r="D2761" t="n">
        <v>0</v>
      </c>
      <c r="E2761" t="s">
        <v>2770</v>
      </c>
      <c r="F2761" t="s"/>
      <c r="G2761" t="s"/>
      <c r="H2761" t="s"/>
      <c r="I2761" t="s"/>
      <c r="J2761" t="n">
        <v>0.7003</v>
      </c>
      <c r="K2761" t="n">
        <v>0</v>
      </c>
      <c r="L2761" t="n">
        <v>0.463</v>
      </c>
      <c r="M2761" t="n">
        <v>0.537</v>
      </c>
    </row>
    <row r="2762" spans="1:13">
      <c r="A2762" s="1">
        <f>HYPERLINK("http://www.twitter.com/NathanBLawrence/status/902304720567627780", "902304720567627780")</f>
        <v/>
      </c>
      <c r="B2762" s="2" t="n">
        <v>42975.95814814815</v>
      </c>
      <c r="C2762" t="n">
        <v>1</v>
      </c>
      <c r="D2762" t="n">
        <v>0</v>
      </c>
      <c r="E2762" t="s">
        <v>2771</v>
      </c>
      <c r="F2762" t="s"/>
      <c r="G2762" t="s"/>
      <c r="H2762" t="s"/>
      <c r="I2762" t="s"/>
      <c r="J2762" t="n">
        <v>-0.1779</v>
      </c>
      <c r="K2762" t="n">
        <v>0.08599999999999999</v>
      </c>
      <c r="L2762" t="n">
        <v>0.914</v>
      </c>
      <c r="M2762" t="n">
        <v>0</v>
      </c>
    </row>
    <row r="2763" spans="1:13">
      <c r="A2763" s="1">
        <f>HYPERLINK("http://www.twitter.com/NathanBLawrence/status/902303851142926336", "902303851142926336")</f>
        <v/>
      </c>
      <c r="B2763" s="2" t="n">
        <v>42975.95574074074</v>
      </c>
      <c r="C2763" t="n">
        <v>1</v>
      </c>
      <c r="D2763" t="n">
        <v>0</v>
      </c>
      <c r="E2763" t="s">
        <v>2772</v>
      </c>
      <c r="F2763" t="s"/>
      <c r="G2763" t="s"/>
      <c r="H2763" t="s"/>
      <c r="I2763" t="s"/>
      <c r="J2763" t="n">
        <v>-0.5945</v>
      </c>
      <c r="K2763" t="n">
        <v>0.205</v>
      </c>
      <c r="L2763" t="n">
        <v>0.795</v>
      </c>
      <c r="M2763" t="n">
        <v>0</v>
      </c>
    </row>
    <row r="2764" spans="1:13">
      <c r="A2764" s="1">
        <f>HYPERLINK("http://www.twitter.com/NathanBLawrence/status/902301093216092160", "902301093216092160")</f>
        <v/>
      </c>
      <c r="B2764" s="2" t="n">
        <v>42975.94813657407</v>
      </c>
      <c r="C2764" t="n">
        <v>1</v>
      </c>
      <c r="D2764" t="n">
        <v>1</v>
      </c>
      <c r="E2764" t="s">
        <v>2773</v>
      </c>
      <c r="F2764" t="s"/>
      <c r="G2764" t="s"/>
      <c r="H2764" t="s"/>
      <c r="I2764" t="s"/>
      <c r="J2764" t="n">
        <v>-0.5994</v>
      </c>
      <c r="K2764" t="n">
        <v>0.214</v>
      </c>
      <c r="L2764" t="n">
        <v>0.702</v>
      </c>
      <c r="M2764" t="n">
        <v>0.08400000000000001</v>
      </c>
    </row>
    <row r="2765" spans="1:13">
      <c r="A2765" s="1">
        <f>HYPERLINK("http://www.twitter.com/NathanBLawrence/status/902296101520371713", "902296101520371713")</f>
        <v/>
      </c>
      <c r="B2765" s="2" t="n">
        <v>42975.93436342593</v>
      </c>
      <c r="C2765" t="n">
        <v>0</v>
      </c>
      <c r="D2765" t="n">
        <v>0</v>
      </c>
      <c r="E2765" t="s">
        <v>2774</v>
      </c>
      <c r="F2765" t="s"/>
      <c r="G2765" t="s"/>
      <c r="H2765" t="s"/>
      <c r="I2765" t="s"/>
      <c r="J2765" t="n">
        <v>0</v>
      </c>
      <c r="K2765" t="n">
        <v>0</v>
      </c>
      <c r="L2765" t="n">
        <v>1</v>
      </c>
      <c r="M2765" t="n">
        <v>0</v>
      </c>
    </row>
    <row r="2766" spans="1:13">
      <c r="A2766" s="1">
        <f>HYPERLINK("http://www.twitter.com/NathanBLawrence/status/902266898154270720", "902266898154270720")</f>
        <v/>
      </c>
      <c r="B2766" s="2" t="n">
        <v>42975.85377314815</v>
      </c>
      <c r="C2766" t="n">
        <v>0</v>
      </c>
      <c r="D2766" t="n">
        <v>1714</v>
      </c>
      <c r="E2766" t="s">
        <v>2775</v>
      </c>
      <c r="F2766">
        <f>HYPERLINK("http://pbs.twimg.com/media/DIV97orXgAAJ5tr.jpg", "http://pbs.twimg.com/media/DIV97orXgAAJ5tr.jpg")</f>
        <v/>
      </c>
      <c r="G2766">
        <f>HYPERLINK("http://pbs.twimg.com/media/DIV979BXoAIFFXB.jpg", "http://pbs.twimg.com/media/DIV979BXoAIFFXB.jpg")</f>
        <v/>
      </c>
      <c r="H2766">
        <f>HYPERLINK("http://pbs.twimg.com/media/DIV98K1W0AAYi2S.jpg", "http://pbs.twimg.com/media/DIV98K1W0AAYi2S.jpg")</f>
        <v/>
      </c>
      <c r="I2766" t="s"/>
      <c r="J2766" t="n">
        <v>-0.5423</v>
      </c>
      <c r="K2766" t="n">
        <v>0.191</v>
      </c>
      <c r="L2766" t="n">
        <v>0.8090000000000001</v>
      </c>
      <c r="M2766" t="n">
        <v>0</v>
      </c>
    </row>
    <row r="2767" spans="1:13">
      <c r="A2767" s="1">
        <f>HYPERLINK("http://www.twitter.com/NathanBLawrence/status/902250103318224897", "902250103318224897")</f>
        <v/>
      </c>
      <c r="B2767" s="2" t="n">
        <v>42975.80743055556</v>
      </c>
      <c r="C2767" t="n">
        <v>0</v>
      </c>
      <c r="D2767" t="n">
        <v>1</v>
      </c>
      <c r="E2767" t="s">
        <v>2776</v>
      </c>
      <c r="F2767" t="s"/>
      <c r="G2767" t="s"/>
      <c r="H2767" t="s"/>
      <c r="I2767" t="s"/>
      <c r="J2767" t="n">
        <v>0</v>
      </c>
      <c r="K2767" t="n">
        <v>0</v>
      </c>
      <c r="L2767" t="n">
        <v>1</v>
      </c>
      <c r="M2767" t="n">
        <v>0</v>
      </c>
    </row>
    <row r="2768" spans="1:13">
      <c r="A2768" s="1">
        <f>HYPERLINK("http://www.twitter.com/NathanBLawrence/status/902207011693232129", "902207011693232129")</f>
        <v/>
      </c>
      <c r="B2768" s="2" t="n">
        <v>42975.68851851852</v>
      </c>
      <c r="C2768" t="n">
        <v>0</v>
      </c>
      <c r="D2768" t="n">
        <v>0</v>
      </c>
      <c r="E2768" t="s">
        <v>2777</v>
      </c>
      <c r="F2768" t="s"/>
      <c r="G2768" t="s"/>
      <c r="H2768" t="s"/>
      <c r="I2768" t="s"/>
      <c r="J2768" t="n">
        <v>0</v>
      </c>
      <c r="K2768" t="n">
        <v>0</v>
      </c>
      <c r="L2768" t="n">
        <v>1</v>
      </c>
      <c r="M2768" t="n">
        <v>0</v>
      </c>
    </row>
    <row r="2769" spans="1:13">
      <c r="A2769" s="1">
        <f>HYPERLINK("http://www.twitter.com/NathanBLawrence/status/902206535094468608", "902206535094468608")</f>
        <v/>
      </c>
      <c r="B2769" s="2" t="n">
        <v>42975.68719907408</v>
      </c>
      <c r="C2769" t="n">
        <v>0</v>
      </c>
      <c r="D2769" t="n">
        <v>0</v>
      </c>
      <c r="E2769" t="s">
        <v>2778</v>
      </c>
      <c r="F2769" t="s"/>
      <c r="G2769" t="s"/>
      <c r="H2769" t="s"/>
      <c r="I2769" t="s"/>
      <c r="J2769" t="n">
        <v>0</v>
      </c>
      <c r="K2769" t="n">
        <v>0</v>
      </c>
      <c r="L2769" t="n">
        <v>1</v>
      </c>
      <c r="M2769" t="n">
        <v>0</v>
      </c>
    </row>
    <row r="2770" spans="1:13">
      <c r="A2770" s="1">
        <f>HYPERLINK("http://www.twitter.com/NathanBLawrence/status/902206011150409728", "902206011150409728")</f>
        <v/>
      </c>
      <c r="B2770" s="2" t="n">
        <v>42975.68575231481</v>
      </c>
      <c r="C2770" t="n">
        <v>0</v>
      </c>
      <c r="D2770" t="n">
        <v>2</v>
      </c>
      <c r="E2770" t="s">
        <v>2779</v>
      </c>
      <c r="F2770">
        <f>HYPERLINK("http://pbs.twimg.com/media/DIQxkcnUIAAVRpg.jpg", "http://pbs.twimg.com/media/DIQxkcnUIAAVRpg.jpg")</f>
        <v/>
      </c>
      <c r="G2770">
        <f>HYPERLINK("http://pbs.twimg.com/media/DIQxnxMUIAAxyW0.jpg", "http://pbs.twimg.com/media/DIQxnxMUIAAxyW0.jpg")</f>
        <v/>
      </c>
      <c r="H2770" t="s"/>
      <c r="I2770" t="s"/>
      <c r="J2770" t="n">
        <v>-0.2023</v>
      </c>
      <c r="K2770" t="n">
        <v>0.133</v>
      </c>
      <c r="L2770" t="n">
        <v>0.783</v>
      </c>
      <c r="M2770" t="n">
        <v>0.08400000000000001</v>
      </c>
    </row>
    <row r="2771" spans="1:13">
      <c r="A2771" s="1">
        <f>HYPERLINK("http://www.twitter.com/NathanBLawrence/status/902205269744263168", "902205269744263168")</f>
        <v/>
      </c>
      <c r="B2771" s="2" t="n">
        <v>42975.68371527778</v>
      </c>
      <c r="C2771" t="n">
        <v>2</v>
      </c>
      <c r="D2771" t="n">
        <v>0</v>
      </c>
      <c r="E2771" t="s">
        <v>2780</v>
      </c>
      <c r="F2771" t="s"/>
      <c r="G2771" t="s"/>
      <c r="H2771" t="s"/>
      <c r="I2771" t="s"/>
      <c r="J2771" t="n">
        <v>0.4939</v>
      </c>
      <c r="K2771" t="n">
        <v>0</v>
      </c>
      <c r="L2771" t="n">
        <v>0.775</v>
      </c>
      <c r="M2771" t="n">
        <v>0.225</v>
      </c>
    </row>
    <row r="2772" spans="1:13">
      <c r="A2772" s="1">
        <f>HYPERLINK("http://www.twitter.com/NathanBLawrence/status/902200592868806657", "902200592868806657")</f>
        <v/>
      </c>
      <c r="B2772" s="2" t="n">
        <v>42975.67081018518</v>
      </c>
      <c r="C2772" t="n">
        <v>2</v>
      </c>
      <c r="D2772" t="n">
        <v>0</v>
      </c>
      <c r="E2772" t="s">
        <v>2781</v>
      </c>
      <c r="F2772" t="s"/>
      <c r="G2772" t="s"/>
      <c r="H2772" t="s"/>
      <c r="I2772" t="s"/>
      <c r="J2772" t="n">
        <v>-0.7096</v>
      </c>
      <c r="K2772" t="n">
        <v>0.371</v>
      </c>
      <c r="L2772" t="n">
        <v>0.629</v>
      </c>
      <c r="M2772" t="n">
        <v>0</v>
      </c>
    </row>
    <row r="2773" spans="1:13">
      <c r="A2773" s="1">
        <f>HYPERLINK("http://www.twitter.com/NathanBLawrence/status/902193161224716288", "902193161224716288")</f>
        <v/>
      </c>
      <c r="B2773" s="2" t="n">
        <v>42975.65030092592</v>
      </c>
      <c r="C2773" t="n">
        <v>0</v>
      </c>
      <c r="D2773" t="n">
        <v>0</v>
      </c>
      <c r="E2773" t="s">
        <v>2782</v>
      </c>
      <c r="F2773" t="s"/>
      <c r="G2773" t="s"/>
      <c r="H2773" t="s"/>
      <c r="I2773" t="s"/>
      <c r="J2773" t="n">
        <v>0.7096</v>
      </c>
      <c r="K2773" t="n">
        <v>0</v>
      </c>
      <c r="L2773" t="n">
        <v>0.651</v>
      </c>
      <c r="M2773" t="n">
        <v>0.349</v>
      </c>
    </row>
    <row r="2774" spans="1:13">
      <c r="A2774" s="1">
        <f>HYPERLINK("http://www.twitter.com/NathanBLawrence/status/902184942666481664", "902184942666481664")</f>
        <v/>
      </c>
      <c r="B2774" s="2" t="n">
        <v>42975.62761574074</v>
      </c>
      <c r="C2774" t="n">
        <v>0</v>
      </c>
      <c r="D2774" t="n">
        <v>0</v>
      </c>
      <c r="E2774" t="s">
        <v>2783</v>
      </c>
      <c r="F2774" t="s"/>
      <c r="G2774" t="s"/>
      <c r="H2774" t="s"/>
      <c r="I2774" t="s"/>
      <c r="J2774" t="n">
        <v>0</v>
      </c>
      <c r="K2774" t="n">
        <v>0</v>
      </c>
      <c r="L2774" t="n">
        <v>1</v>
      </c>
      <c r="M2774" t="n">
        <v>0</v>
      </c>
    </row>
    <row r="2775" spans="1:13">
      <c r="A2775" s="1">
        <f>HYPERLINK("http://www.twitter.com/NathanBLawrence/status/902179460543381506", "902179460543381506")</f>
        <v/>
      </c>
      <c r="B2775" s="2" t="n">
        <v>42975.61248842593</v>
      </c>
      <c r="C2775" t="n">
        <v>0</v>
      </c>
      <c r="D2775" t="n">
        <v>0</v>
      </c>
      <c r="E2775" t="s">
        <v>2784</v>
      </c>
      <c r="F2775" t="s"/>
      <c r="G2775" t="s"/>
      <c r="H2775" t="s"/>
      <c r="I2775" t="s"/>
      <c r="J2775" t="n">
        <v>0.3612</v>
      </c>
      <c r="K2775" t="n">
        <v>0</v>
      </c>
      <c r="L2775" t="n">
        <v>0.545</v>
      </c>
      <c r="M2775" t="n">
        <v>0.455</v>
      </c>
    </row>
    <row r="2776" spans="1:13">
      <c r="A2776" s="1">
        <f>HYPERLINK("http://www.twitter.com/NathanBLawrence/status/901983367876489217", "901983367876489217")</f>
        <v/>
      </c>
      <c r="B2776" s="2" t="n">
        <v>42975.07137731482</v>
      </c>
      <c r="C2776" t="n">
        <v>3</v>
      </c>
      <c r="D2776" t="n">
        <v>1</v>
      </c>
      <c r="E2776" t="s">
        <v>2785</v>
      </c>
      <c r="F2776" t="s"/>
      <c r="G2776" t="s"/>
      <c r="H2776" t="s"/>
      <c r="I2776" t="s"/>
      <c r="J2776" t="n">
        <v>0.4537</v>
      </c>
      <c r="K2776" t="n">
        <v>0.097</v>
      </c>
      <c r="L2776" t="n">
        <v>0.698</v>
      </c>
      <c r="M2776" t="n">
        <v>0.206</v>
      </c>
    </row>
    <row r="2777" spans="1:13">
      <c r="A2777" s="1">
        <f>HYPERLINK("http://www.twitter.com/NathanBLawrence/status/901934497054285824", "901934497054285824")</f>
        <v/>
      </c>
      <c r="B2777" s="2" t="n">
        <v>42974.93651620371</v>
      </c>
      <c r="C2777" t="n">
        <v>0</v>
      </c>
      <c r="D2777" t="n">
        <v>0</v>
      </c>
      <c r="E2777" t="s">
        <v>2786</v>
      </c>
      <c r="F2777" t="s"/>
      <c r="G2777" t="s"/>
      <c r="H2777" t="s"/>
      <c r="I2777" t="s"/>
      <c r="J2777" t="n">
        <v>-0.4404</v>
      </c>
      <c r="K2777" t="n">
        <v>0.199</v>
      </c>
      <c r="L2777" t="n">
        <v>0.697</v>
      </c>
      <c r="M2777" t="n">
        <v>0.104</v>
      </c>
    </row>
    <row r="2778" spans="1:13">
      <c r="A2778" s="1">
        <f>HYPERLINK("http://www.twitter.com/NathanBLawrence/status/901929023093256193", "901929023093256193")</f>
        <v/>
      </c>
      <c r="B2778" s="2" t="n">
        <v>42974.92141203704</v>
      </c>
      <c r="C2778" t="n">
        <v>0</v>
      </c>
      <c r="D2778" t="n">
        <v>0</v>
      </c>
      <c r="E2778" t="s">
        <v>2787</v>
      </c>
      <c r="F2778" t="s"/>
      <c r="G2778" t="s"/>
      <c r="H2778" t="s"/>
      <c r="I2778" t="s"/>
      <c r="J2778" t="n">
        <v>-0.5994</v>
      </c>
      <c r="K2778" t="n">
        <v>0.245</v>
      </c>
      <c r="L2778" t="n">
        <v>0.755</v>
      </c>
      <c r="M2778" t="n">
        <v>0</v>
      </c>
    </row>
    <row r="2779" spans="1:13">
      <c r="A2779" s="1">
        <f>HYPERLINK("http://www.twitter.com/NathanBLawrence/status/901925654089883649", "901925654089883649")</f>
        <v/>
      </c>
      <c r="B2779" s="2" t="n">
        <v>42974.91211805555</v>
      </c>
      <c r="C2779" t="n">
        <v>1</v>
      </c>
      <c r="D2779" t="n">
        <v>0</v>
      </c>
      <c r="E2779" t="s">
        <v>2788</v>
      </c>
      <c r="F2779" t="s"/>
      <c r="G2779" t="s"/>
      <c r="H2779" t="s"/>
      <c r="I2779" t="s"/>
      <c r="J2779" t="n">
        <v>0.5106000000000001</v>
      </c>
      <c r="K2779" t="n">
        <v>0</v>
      </c>
      <c r="L2779" t="n">
        <v>0.708</v>
      </c>
      <c r="M2779" t="n">
        <v>0.292</v>
      </c>
    </row>
    <row r="2780" spans="1:13">
      <c r="A2780" s="1">
        <f>HYPERLINK("http://www.twitter.com/NathanBLawrence/status/901925033525874688", "901925033525874688")</f>
        <v/>
      </c>
      <c r="B2780" s="2" t="n">
        <v>42974.9104050926</v>
      </c>
      <c r="C2780" t="n">
        <v>1</v>
      </c>
      <c r="D2780" t="n">
        <v>0</v>
      </c>
      <c r="E2780" t="s">
        <v>2789</v>
      </c>
      <c r="F2780" t="s"/>
      <c r="G2780" t="s"/>
      <c r="H2780" t="s"/>
      <c r="I2780" t="s"/>
      <c r="J2780" t="n">
        <v>0.7177</v>
      </c>
      <c r="K2780" t="n">
        <v>0.148</v>
      </c>
      <c r="L2780" t="n">
        <v>0.385</v>
      </c>
      <c r="M2780" t="n">
        <v>0.468</v>
      </c>
    </row>
    <row r="2781" spans="1:13">
      <c r="A2781" s="1">
        <f>HYPERLINK("http://www.twitter.com/NathanBLawrence/status/901924073755873280", "901924073755873280")</f>
        <v/>
      </c>
      <c r="B2781" s="2" t="n">
        <v>42974.90775462963</v>
      </c>
      <c r="C2781" t="n">
        <v>1</v>
      </c>
      <c r="D2781" t="n">
        <v>0</v>
      </c>
      <c r="E2781" t="s">
        <v>2790</v>
      </c>
      <c r="F2781" t="s"/>
      <c r="G2781" t="s"/>
      <c r="H2781" t="s"/>
      <c r="I2781" t="s"/>
      <c r="J2781" t="n">
        <v>0.4767</v>
      </c>
      <c r="K2781" t="n">
        <v>0</v>
      </c>
      <c r="L2781" t="n">
        <v>0.617</v>
      </c>
      <c r="M2781" t="n">
        <v>0.383</v>
      </c>
    </row>
    <row r="2782" spans="1:13">
      <c r="A2782" s="1">
        <f>HYPERLINK("http://www.twitter.com/NathanBLawrence/status/901869940852043776", "901869940852043776")</f>
        <v/>
      </c>
      <c r="B2782" s="2" t="n">
        <v>42974.75837962963</v>
      </c>
      <c r="C2782" t="n">
        <v>0</v>
      </c>
      <c r="D2782" t="n">
        <v>0</v>
      </c>
      <c r="E2782" t="s">
        <v>2791</v>
      </c>
      <c r="F2782" t="s"/>
      <c r="G2782" t="s"/>
      <c r="H2782" t="s"/>
      <c r="I2782" t="s"/>
      <c r="J2782" t="n">
        <v>-0.296</v>
      </c>
      <c r="K2782" t="n">
        <v>0.8080000000000001</v>
      </c>
      <c r="L2782" t="n">
        <v>0.192</v>
      </c>
      <c r="M2782" t="n">
        <v>0</v>
      </c>
    </row>
    <row r="2783" spans="1:13">
      <c r="A2783" s="1">
        <f>HYPERLINK("http://www.twitter.com/NathanBLawrence/status/901822867112910849", "901822867112910849")</f>
        <v/>
      </c>
      <c r="B2783" s="2" t="n">
        <v>42974.6284837963</v>
      </c>
      <c r="C2783" t="n">
        <v>0</v>
      </c>
      <c r="D2783" t="n">
        <v>0</v>
      </c>
      <c r="E2783" t="s">
        <v>2792</v>
      </c>
      <c r="F2783" t="s"/>
      <c r="G2783" t="s"/>
      <c r="H2783" t="s"/>
      <c r="I2783" t="s"/>
      <c r="J2783" t="n">
        <v>0.6249</v>
      </c>
      <c r="K2783" t="n">
        <v>0</v>
      </c>
      <c r="L2783" t="n">
        <v>0.37</v>
      </c>
      <c r="M2783" t="n">
        <v>0.63</v>
      </c>
    </row>
    <row r="2784" spans="1:13">
      <c r="A2784" s="1">
        <f>HYPERLINK("http://www.twitter.com/NathanBLawrence/status/901630664721784833", "901630664721784833")</f>
        <v/>
      </c>
      <c r="B2784" s="2" t="n">
        <v>42974.09810185185</v>
      </c>
      <c r="C2784" t="n">
        <v>0</v>
      </c>
      <c r="D2784" t="n">
        <v>0</v>
      </c>
      <c r="E2784" t="s">
        <v>2793</v>
      </c>
      <c r="F2784" t="s"/>
      <c r="G2784" t="s"/>
      <c r="H2784" t="s"/>
      <c r="I2784" t="s"/>
      <c r="J2784" t="n">
        <v>-0.0772</v>
      </c>
      <c r="K2784" t="n">
        <v>0.148</v>
      </c>
      <c r="L2784" t="n">
        <v>0.718</v>
      </c>
      <c r="M2784" t="n">
        <v>0.134</v>
      </c>
    </row>
    <row r="2785" spans="1:13">
      <c r="A2785" s="1">
        <f>HYPERLINK("http://www.twitter.com/NathanBLawrence/status/901613600061698049", "901613600061698049")</f>
        <v/>
      </c>
      <c r="B2785" s="2" t="n">
        <v>42974.05101851852</v>
      </c>
      <c r="C2785" t="n">
        <v>0</v>
      </c>
      <c r="D2785" t="n">
        <v>0</v>
      </c>
      <c r="E2785" t="s">
        <v>2794</v>
      </c>
      <c r="F2785" t="s"/>
      <c r="G2785" t="s"/>
      <c r="H2785" t="s"/>
      <c r="I2785" t="s"/>
      <c r="J2785" t="n">
        <v>0.1531</v>
      </c>
      <c r="K2785" t="n">
        <v>0</v>
      </c>
      <c r="L2785" t="n">
        <v>0.873</v>
      </c>
      <c r="M2785" t="n">
        <v>0.127</v>
      </c>
    </row>
    <row r="2786" spans="1:13">
      <c r="A2786" s="1">
        <f>HYPERLINK("http://www.twitter.com/NathanBLawrence/status/901593733480816640", "901593733480816640")</f>
        <v/>
      </c>
      <c r="B2786" s="2" t="n">
        <v>42973.99619212963</v>
      </c>
      <c r="C2786" t="n">
        <v>0</v>
      </c>
      <c r="D2786" t="n">
        <v>0</v>
      </c>
      <c r="E2786" t="s">
        <v>2795</v>
      </c>
      <c r="F2786" t="s"/>
      <c r="G2786" t="s"/>
      <c r="H2786" t="s"/>
      <c r="I2786" t="s"/>
      <c r="J2786" t="n">
        <v>-0.3818</v>
      </c>
      <c r="K2786" t="n">
        <v>0.25</v>
      </c>
      <c r="L2786" t="n">
        <v>0.608</v>
      </c>
      <c r="M2786" t="n">
        <v>0.142</v>
      </c>
    </row>
    <row r="2787" spans="1:13">
      <c r="A2787" s="1">
        <f>HYPERLINK("http://www.twitter.com/NathanBLawrence/status/901584875014250496", "901584875014250496")</f>
        <v/>
      </c>
      <c r="B2787" s="2" t="n">
        <v>42973.97174768519</v>
      </c>
      <c r="C2787" t="n">
        <v>0</v>
      </c>
      <c r="D2787" t="n">
        <v>0</v>
      </c>
      <c r="E2787" t="s">
        <v>2796</v>
      </c>
      <c r="F2787" t="s"/>
      <c r="G2787" t="s"/>
      <c r="H2787" t="s"/>
      <c r="I2787" t="s"/>
      <c r="J2787" t="n">
        <v>-0.5574</v>
      </c>
      <c r="K2787" t="n">
        <v>0.34</v>
      </c>
      <c r="L2787" t="n">
        <v>0.66</v>
      </c>
      <c r="M2787" t="n">
        <v>0</v>
      </c>
    </row>
    <row r="2788" spans="1:13">
      <c r="A2788" s="1">
        <f>HYPERLINK("http://www.twitter.com/NathanBLawrence/status/901582092747894785", "901582092747894785")</f>
        <v/>
      </c>
      <c r="B2788" s="2" t="n">
        <v>42973.96407407407</v>
      </c>
      <c r="C2788" t="n">
        <v>0</v>
      </c>
      <c r="D2788" t="n">
        <v>1</v>
      </c>
      <c r="E2788" t="s">
        <v>2797</v>
      </c>
      <c r="F2788" t="s"/>
      <c r="G2788" t="s"/>
      <c r="H2788" t="s"/>
      <c r="I2788" t="s"/>
      <c r="J2788" t="n">
        <v>0.3612</v>
      </c>
      <c r="K2788" t="n">
        <v>0</v>
      </c>
      <c r="L2788" t="n">
        <v>0.762</v>
      </c>
      <c r="M2788" t="n">
        <v>0.238</v>
      </c>
    </row>
    <row r="2789" spans="1:13">
      <c r="A2789" s="1">
        <f>HYPERLINK("http://www.twitter.com/NathanBLawrence/status/901581810605449217", "901581810605449217")</f>
        <v/>
      </c>
      <c r="B2789" s="2" t="n">
        <v>42973.96328703704</v>
      </c>
      <c r="C2789" t="n">
        <v>1</v>
      </c>
      <c r="D2789" t="n">
        <v>0</v>
      </c>
      <c r="E2789" t="s">
        <v>2798</v>
      </c>
      <c r="F2789" t="s"/>
      <c r="G2789" t="s"/>
      <c r="H2789" t="s"/>
      <c r="I2789" t="s"/>
      <c r="J2789" t="n">
        <v>0</v>
      </c>
      <c r="K2789" t="n">
        <v>0</v>
      </c>
      <c r="L2789" t="n">
        <v>1</v>
      </c>
      <c r="M2789" t="n">
        <v>0</v>
      </c>
    </row>
    <row r="2790" spans="1:13">
      <c r="A2790" s="1">
        <f>HYPERLINK("http://www.twitter.com/NathanBLawrence/status/901308533643378688", "901308533643378688")</f>
        <v/>
      </c>
      <c r="B2790" s="2" t="n">
        <v>42973.20918981481</v>
      </c>
      <c r="C2790" t="n">
        <v>0</v>
      </c>
      <c r="D2790" t="n">
        <v>0</v>
      </c>
      <c r="E2790" t="s">
        <v>2799</v>
      </c>
      <c r="F2790" t="s"/>
      <c r="G2790" t="s"/>
      <c r="H2790" t="s"/>
      <c r="I2790" t="s"/>
      <c r="J2790" t="n">
        <v>-0.3612</v>
      </c>
      <c r="K2790" t="n">
        <v>0.238</v>
      </c>
      <c r="L2790" t="n">
        <v>0.762</v>
      </c>
      <c r="M2790" t="n">
        <v>0</v>
      </c>
    </row>
    <row r="2791" spans="1:13">
      <c r="A2791" s="1">
        <f>HYPERLINK("http://www.twitter.com/NathanBLawrence/status/901183253012512768", "901183253012512768")</f>
        <v/>
      </c>
      <c r="B2791" s="2" t="n">
        <v>42972.8634837963</v>
      </c>
      <c r="C2791" t="n">
        <v>0</v>
      </c>
      <c r="D2791" t="n">
        <v>13572</v>
      </c>
      <c r="E2791" t="s">
        <v>2800</v>
      </c>
      <c r="F2791" t="s"/>
      <c r="G2791" t="s"/>
      <c r="H2791" t="s"/>
      <c r="I2791" t="s"/>
      <c r="J2791" t="n">
        <v>0.101</v>
      </c>
      <c r="K2791" t="n">
        <v>0.1</v>
      </c>
      <c r="L2791" t="n">
        <v>0.786</v>
      </c>
      <c r="M2791" t="n">
        <v>0.114</v>
      </c>
    </row>
    <row r="2792" spans="1:13">
      <c r="A2792" s="1">
        <f>HYPERLINK("http://www.twitter.com/NathanBLawrence/status/901180380723728385", "901180380723728385")</f>
        <v/>
      </c>
      <c r="B2792" s="2" t="n">
        <v>42972.85555555556</v>
      </c>
      <c r="C2792" t="n">
        <v>1</v>
      </c>
      <c r="D2792" t="n">
        <v>0</v>
      </c>
      <c r="E2792" t="s">
        <v>2801</v>
      </c>
      <c r="F2792" t="s"/>
      <c r="G2792" t="s"/>
      <c r="H2792" t="s"/>
      <c r="I2792" t="s"/>
      <c r="J2792" t="n">
        <v>0</v>
      </c>
      <c r="K2792" t="n">
        <v>0</v>
      </c>
      <c r="L2792" t="n">
        <v>1</v>
      </c>
      <c r="M2792" t="n">
        <v>0</v>
      </c>
    </row>
    <row r="2793" spans="1:13">
      <c r="A2793" s="1">
        <f>HYPERLINK("http://www.twitter.com/NathanBLawrence/status/901179741570576384", "901179741570576384")</f>
        <v/>
      </c>
      <c r="B2793" s="2" t="n">
        <v>42972.85379629629</v>
      </c>
      <c r="C2793" t="n">
        <v>0</v>
      </c>
      <c r="D2793" t="n">
        <v>0</v>
      </c>
      <c r="E2793" t="s">
        <v>2802</v>
      </c>
      <c r="F2793" t="s"/>
      <c r="G2793" t="s"/>
      <c r="H2793" t="s"/>
      <c r="I2793" t="s"/>
      <c r="J2793" t="n">
        <v>0.128</v>
      </c>
      <c r="K2793" t="n">
        <v>0.183</v>
      </c>
      <c r="L2793" t="n">
        <v>0.655</v>
      </c>
      <c r="M2793" t="n">
        <v>0.162</v>
      </c>
    </row>
    <row r="2794" spans="1:13">
      <c r="A2794" s="1">
        <f>HYPERLINK("http://www.twitter.com/NathanBLawrence/status/901175159192682496", "901175159192682496")</f>
        <v/>
      </c>
      <c r="B2794" s="2" t="n">
        <v>42972.84114583334</v>
      </c>
      <c r="C2794" t="n">
        <v>0</v>
      </c>
      <c r="D2794" t="n">
        <v>0</v>
      </c>
      <c r="E2794" t="s">
        <v>2803</v>
      </c>
      <c r="F2794" t="s"/>
      <c r="G2794" t="s"/>
      <c r="H2794" t="s"/>
      <c r="I2794" t="s"/>
      <c r="J2794" t="n">
        <v>0</v>
      </c>
      <c r="K2794" t="n">
        <v>0</v>
      </c>
      <c r="L2794" t="n">
        <v>1</v>
      </c>
      <c r="M2794" t="n">
        <v>0</v>
      </c>
    </row>
    <row r="2795" spans="1:13">
      <c r="A2795" s="1">
        <f>HYPERLINK("http://www.twitter.com/NathanBLawrence/status/901147205662380033", "901147205662380033")</f>
        <v/>
      </c>
      <c r="B2795" s="2" t="n">
        <v>42972.76400462963</v>
      </c>
      <c r="C2795" t="n">
        <v>0</v>
      </c>
      <c r="D2795" t="n">
        <v>0</v>
      </c>
      <c r="E2795" t="s">
        <v>2804</v>
      </c>
      <c r="F2795" t="s"/>
      <c r="G2795" t="s"/>
      <c r="H2795" t="s"/>
      <c r="I2795" t="s"/>
      <c r="J2795" t="n">
        <v>0</v>
      </c>
      <c r="K2795" t="n">
        <v>0</v>
      </c>
      <c r="L2795" t="n">
        <v>1</v>
      </c>
      <c r="M2795" t="n">
        <v>0</v>
      </c>
    </row>
    <row r="2796" spans="1:13">
      <c r="A2796" s="1">
        <f>HYPERLINK("http://www.twitter.com/NathanBLawrence/status/901108822235852804", "901108822235852804")</f>
        <v/>
      </c>
      <c r="B2796" s="2" t="n">
        <v>42972.65809027778</v>
      </c>
      <c r="C2796" t="n">
        <v>0</v>
      </c>
      <c r="D2796" t="n">
        <v>0</v>
      </c>
      <c r="E2796" t="s">
        <v>2805</v>
      </c>
      <c r="F2796" t="s"/>
      <c r="G2796" t="s"/>
      <c r="H2796" t="s"/>
      <c r="I2796" t="s"/>
      <c r="J2796" t="n">
        <v>0.4404</v>
      </c>
      <c r="K2796" t="n">
        <v>0</v>
      </c>
      <c r="L2796" t="n">
        <v>0.805</v>
      </c>
      <c r="M2796" t="n">
        <v>0.195</v>
      </c>
    </row>
    <row r="2797" spans="1:13">
      <c r="A2797" s="1">
        <f>HYPERLINK("http://www.twitter.com/NathanBLawrence/status/901094261218848769", "901094261218848769")</f>
        <v/>
      </c>
      <c r="B2797" s="2" t="n">
        <v>42972.61791666667</v>
      </c>
      <c r="C2797" t="n">
        <v>0</v>
      </c>
      <c r="D2797" t="n">
        <v>0</v>
      </c>
      <c r="E2797" t="s">
        <v>2806</v>
      </c>
      <c r="F2797" t="s"/>
      <c r="G2797" t="s"/>
      <c r="H2797" t="s"/>
      <c r="I2797" t="s"/>
      <c r="J2797" t="n">
        <v>0.3535</v>
      </c>
      <c r="K2797" t="n">
        <v>0</v>
      </c>
      <c r="L2797" t="n">
        <v>0.802</v>
      </c>
      <c r="M2797" t="n">
        <v>0.198</v>
      </c>
    </row>
    <row r="2798" spans="1:13">
      <c r="A2798" s="1">
        <f>HYPERLINK("http://www.twitter.com/NathanBLawrence/status/901088867410989056", "901088867410989056")</f>
        <v/>
      </c>
      <c r="B2798" s="2" t="n">
        <v>42972.60303240741</v>
      </c>
      <c r="C2798" t="n">
        <v>0</v>
      </c>
      <c r="D2798" t="n">
        <v>0</v>
      </c>
      <c r="E2798" t="s">
        <v>2807</v>
      </c>
      <c r="F2798" t="s"/>
      <c r="G2798" t="s"/>
      <c r="H2798" t="s"/>
      <c r="I2798" t="s"/>
      <c r="J2798" t="n">
        <v>-0.1027</v>
      </c>
      <c r="K2798" t="n">
        <v>0.149</v>
      </c>
      <c r="L2798" t="n">
        <v>0.851</v>
      </c>
      <c r="M2798" t="n">
        <v>0</v>
      </c>
    </row>
    <row r="2799" spans="1:13">
      <c r="A2799" s="1">
        <f>HYPERLINK("http://www.twitter.com/NathanBLawrence/status/901084115541397504", "901084115541397504")</f>
        <v/>
      </c>
      <c r="B2799" s="2" t="n">
        <v>42972.58991898148</v>
      </c>
      <c r="C2799" t="n">
        <v>0</v>
      </c>
      <c r="D2799" t="n">
        <v>0</v>
      </c>
      <c r="E2799" t="s">
        <v>2808</v>
      </c>
      <c r="F2799" t="s"/>
      <c r="G2799" t="s"/>
      <c r="H2799" t="s"/>
      <c r="I2799" t="s"/>
      <c r="J2799" t="n">
        <v>0</v>
      </c>
      <c r="K2799" t="n">
        <v>0</v>
      </c>
      <c r="L2799" t="n">
        <v>1</v>
      </c>
      <c r="M2799" t="n">
        <v>0</v>
      </c>
    </row>
    <row r="2800" spans="1:13">
      <c r="A2800" s="1">
        <f>HYPERLINK("http://www.twitter.com/NathanBLawrence/status/901083237124116481", "901083237124116481")</f>
        <v/>
      </c>
      <c r="B2800" s="2" t="n">
        <v>42972.58748842592</v>
      </c>
      <c r="C2800" t="n">
        <v>0</v>
      </c>
      <c r="D2800" t="n">
        <v>0</v>
      </c>
      <c r="E2800" t="s">
        <v>2809</v>
      </c>
      <c r="F2800" t="s"/>
      <c r="G2800" t="s"/>
      <c r="H2800" t="s"/>
      <c r="I2800" t="s"/>
      <c r="J2800" t="n">
        <v>0.4767</v>
      </c>
      <c r="K2800" t="n">
        <v>0</v>
      </c>
      <c r="L2800" t="n">
        <v>0.853</v>
      </c>
      <c r="M2800" t="n">
        <v>0.147</v>
      </c>
    </row>
    <row r="2801" spans="1:13">
      <c r="A2801" s="1">
        <f>HYPERLINK("http://www.twitter.com/NathanBLawrence/status/901070063918358528", "901070063918358528")</f>
        <v/>
      </c>
      <c r="B2801" s="2" t="n">
        <v>42972.55113425926</v>
      </c>
      <c r="C2801" t="n">
        <v>3</v>
      </c>
      <c r="D2801" t="n">
        <v>0</v>
      </c>
      <c r="E2801" t="s">
        <v>2810</v>
      </c>
      <c r="F2801" t="s"/>
      <c r="G2801" t="s"/>
      <c r="H2801" t="s"/>
      <c r="I2801" t="s"/>
      <c r="J2801" t="n">
        <v>-0.296</v>
      </c>
      <c r="K2801" t="n">
        <v>0.167</v>
      </c>
      <c r="L2801" t="n">
        <v>0.833</v>
      </c>
      <c r="M2801" t="n">
        <v>0</v>
      </c>
    </row>
    <row r="2802" spans="1:13">
      <c r="A2802" s="1">
        <f>HYPERLINK("http://www.twitter.com/NathanBLawrence/status/901055523646316544", "901055523646316544")</f>
        <v/>
      </c>
      <c r="B2802" s="2" t="n">
        <v>42972.51101851852</v>
      </c>
      <c r="C2802" t="n">
        <v>1</v>
      </c>
      <c r="D2802" t="n">
        <v>0</v>
      </c>
      <c r="E2802" t="s">
        <v>2811</v>
      </c>
      <c r="F2802" t="s"/>
      <c r="G2802" t="s"/>
      <c r="H2802" t="s"/>
      <c r="I2802" t="s"/>
      <c r="J2802" t="n">
        <v>0.4404</v>
      </c>
      <c r="K2802" t="n">
        <v>0.07199999999999999</v>
      </c>
      <c r="L2802" t="n">
        <v>0.766</v>
      </c>
      <c r="M2802" t="n">
        <v>0.163</v>
      </c>
    </row>
    <row r="2803" spans="1:13">
      <c r="A2803" s="1">
        <f>HYPERLINK("http://www.twitter.com/NathanBLawrence/status/901054928726241281", "901054928726241281")</f>
        <v/>
      </c>
      <c r="B2803" s="2" t="n">
        <v>42972.509375</v>
      </c>
      <c r="C2803" t="n">
        <v>1</v>
      </c>
      <c r="D2803" t="n">
        <v>0</v>
      </c>
      <c r="E2803" t="s">
        <v>2812</v>
      </c>
      <c r="F2803" t="s"/>
      <c r="G2803" t="s"/>
      <c r="H2803" t="s"/>
      <c r="I2803" t="s"/>
      <c r="J2803" t="n">
        <v>-0.4168</v>
      </c>
      <c r="K2803" t="n">
        <v>0.176</v>
      </c>
      <c r="L2803" t="n">
        <v>0.736</v>
      </c>
      <c r="M2803" t="n">
        <v>0.08799999999999999</v>
      </c>
    </row>
    <row r="2804" spans="1:13">
      <c r="A2804" s="1">
        <f>HYPERLINK("http://www.twitter.com/NathanBLawrence/status/900902763512696833", "900902763512696833")</f>
        <v/>
      </c>
      <c r="B2804" s="2" t="n">
        <v>42972.08947916667</v>
      </c>
      <c r="C2804" t="n">
        <v>0</v>
      </c>
      <c r="D2804" t="n">
        <v>0</v>
      </c>
      <c r="E2804" t="s">
        <v>2813</v>
      </c>
      <c r="F2804" t="s"/>
      <c r="G2804" t="s"/>
      <c r="H2804" t="s"/>
      <c r="I2804" t="s"/>
      <c r="J2804" t="n">
        <v>0.7163</v>
      </c>
      <c r="K2804" t="n">
        <v>0</v>
      </c>
      <c r="L2804" t="n">
        <v>0.376</v>
      </c>
      <c r="M2804" t="n">
        <v>0.624</v>
      </c>
    </row>
    <row r="2805" spans="1:13">
      <c r="A2805" s="1">
        <f>HYPERLINK("http://www.twitter.com/NathanBLawrence/status/900874133579411456", "900874133579411456")</f>
        <v/>
      </c>
      <c r="B2805" s="2" t="n">
        <v>42972.01047453703</v>
      </c>
      <c r="C2805" t="n">
        <v>1</v>
      </c>
      <c r="D2805" t="n">
        <v>0</v>
      </c>
      <c r="E2805" t="s">
        <v>2814</v>
      </c>
      <c r="F2805" t="s"/>
      <c r="G2805" t="s"/>
      <c r="H2805" t="s"/>
      <c r="I2805" t="s"/>
      <c r="J2805" t="n">
        <v>0.3818</v>
      </c>
      <c r="K2805" t="n">
        <v>0</v>
      </c>
      <c r="L2805" t="n">
        <v>0.755</v>
      </c>
      <c r="M2805" t="n">
        <v>0.245</v>
      </c>
    </row>
    <row r="2806" spans="1:13">
      <c r="A2806" s="1">
        <f>HYPERLINK("http://www.twitter.com/NathanBLawrence/status/900873752560504834", "900873752560504834")</f>
        <v/>
      </c>
      <c r="B2806" s="2" t="n">
        <v>42972.00942129629</v>
      </c>
      <c r="C2806" t="n">
        <v>1</v>
      </c>
      <c r="D2806" t="n">
        <v>0</v>
      </c>
      <c r="E2806" t="s">
        <v>2815</v>
      </c>
      <c r="F2806" t="s"/>
      <c r="G2806" t="s"/>
      <c r="H2806" t="s"/>
      <c r="I2806" t="s"/>
      <c r="J2806" t="n">
        <v>0</v>
      </c>
      <c r="K2806" t="n">
        <v>0</v>
      </c>
      <c r="L2806" t="n">
        <v>1</v>
      </c>
      <c r="M2806" t="n">
        <v>0</v>
      </c>
    </row>
    <row r="2807" spans="1:13">
      <c r="A2807" s="1">
        <f>HYPERLINK("http://www.twitter.com/NathanBLawrence/status/900873414684160000", "900873414684160000")</f>
        <v/>
      </c>
      <c r="B2807" s="2" t="n">
        <v>42972.00849537037</v>
      </c>
      <c r="C2807" t="n">
        <v>1</v>
      </c>
      <c r="D2807" t="n">
        <v>0</v>
      </c>
      <c r="E2807" t="s">
        <v>2816</v>
      </c>
      <c r="F2807" t="s"/>
      <c r="G2807" t="s"/>
      <c r="H2807" t="s"/>
      <c r="I2807" t="s"/>
      <c r="J2807" t="n">
        <v>0</v>
      </c>
      <c r="K2807" t="n">
        <v>0</v>
      </c>
      <c r="L2807" t="n">
        <v>1</v>
      </c>
      <c r="M2807" t="n">
        <v>0</v>
      </c>
    </row>
    <row r="2808" spans="1:13">
      <c r="A2808" s="1">
        <f>HYPERLINK("http://www.twitter.com/NathanBLawrence/status/900856736692805632", "900856736692805632")</f>
        <v/>
      </c>
      <c r="B2808" s="2" t="n">
        <v>42971.96246527778</v>
      </c>
      <c r="C2808" t="n">
        <v>1</v>
      </c>
      <c r="D2808" t="n">
        <v>0</v>
      </c>
      <c r="E2808" t="s">
        <v>2817</v>
      </c>
      <c r="F2808" t="s"/>
      <c r="G2808" t="s"/>
      <c r="H2808" t="s"/>
      <c r="I2808" t="s"/>
      <c r="J2808" t="n">
        <v>0</v>
      </c>
      <c r="K2808" t="n">
        <v>0</v>
      </c>
      <c r="L2808" t="n">
        <v>1</v>
      </c>
      <c r="M2808" t="n">
        <v>0</v>
      </c>
    </row>
    <row r="2809" spans="1:13">
      <c r="A2809" s="1">
        <f>HYPERLINK("http://www.twitter.com/NathanBLawrence/status/900814152909950976", "900814152909950976")</f>
        <v/>
      </c>
      <c r="B2809" s="2" t="n">
        <v>42971.84496527778</v>
      </c>
      <c r="C2809" t="n">
        <v>0</v>
      </c>
      <c r="D2809" t="n">
        <v>0</v>
      </c>
      <c r="E2809" t="s">
        <v>2818</v>
      </c>
      <c r="F2809" t="s"/>
      <c r="G2809" t="s"/>
      <c r="H2809" t="s"/>
      <c r="I2809" t="s"/>
      <c r="J2809" t="n">
        <v>0.4404</v>
      </c>
      <c r="K2809" t="n">
        <v>0</v>
      </c>
      <c r="L2809" t="n">
        <v>0.775</v>
      </c>
      <c r="M2809" t="n">
        <v>0.225</v>
      </c>
    </row>
    <row r="2810" spans="1:13">
      <c r="A2810" s="1">
        <f>HYPERLINK("http://www.twitter.com/NathanBLawrence/status/900763681235103744", "900763681235103744")</f>
        <v/>
      </c>
      <c r="B2810" s="2" t="n">
        <v>42971.70568287037</v>
      </c>
      <c r="C2810" t="n">
        <v>0</v>
      </c>
      <c r="D2810" t="n">
        <v>0</v>
      </c>
      <c r="E2810" t="s">
        <v>2819</v>
      </c>
      <c r="F2810" t="s"/>
      <c r="G2810" t="s"/>
      <c r="H2810" t="s"/>
      <c r="I2810" t="s"/>
      <c r="J2810" t="n">
        <v>0</v>
      </c>
      <c r="K2810" t="n">
        <v>0</v>
      </c>
      <c r="L2810" t="n">
        <v>1</v>
      </c>
      <c r="M2810" t="n">
        <v>0</v>
      </c>
    </row>
    <row r="2811" spans="1:13">
      <c r="A2811" s="1">
        <f>HYPERLINK("http://www.twitter.com/NathanBLawrence/status/900762555236438016", "900762555236438016")</f>
        <v/>
      </c>
      <c r="B2811" s="2" t="n">
        <v>42971.70258101852</v>
      </c>
      <c r="C2811" t="n">
        <v>0</v>
      </c>
      <c r="D2811" t="n">
        <v>0</v>
      </c>
      <c r="E2811" t="s">
        <v>2820</v>
      </c>
      <c r="F2811" t="s"/>
      <c r="G2811" t="s"/>
      <c r="H2811" t="s"/>
      <c r="I2811" t="s"/>
      <c r="J2811" t="n">
        <v>-0.4767</v>
      </c>
      <c r="K2811" t="n">
        <v>0.437</v>
      </c>
      <c r="L2811" t="n">
        <v>0.5629999999999999</v>
      </c>
      <c r="M2811" t="n">
        <v>0</v>
      </c>
    </row>
    <row r="2812" spans="1:13">
      <c r="A2812" s="1">
        <f>HYPERLINK("http://www.twitter.com/NathanBLawrence/status/900762166969733120", "900762166969733120")</f>
        <v/>
      </c>
      <c r="B2812" s="2" t="n">
        <v>42971.70150462963</v>
      </c>
      <c r="C2812" t="n">
        <v>0</v>
      </c>
      <c r="D2812" t="n">
        <v>0</v>
      </c>
      <c r="E2812" t="s">
        <v>2821</v>
      </c>
      <c r="F2812" t="s"/>
      <c r="G2812" t="s"/>
      <c r="H2812" t="s"/>
      <c r="I2812" t="s"/>
      <c r="J2812" t="n">
        <v>0</v>
      </c>
      <c r="K2812" t="n">
        <v>0</v>
      </c>
      <c r="L2812" t="n">
        <v>1</v>
      </c>
      <c r="M2812" t="n">
        <v>0</v>
      </c>
    </row>
    <row r="2813" spans="1:13">
      <c r="A2813" s="1">
        <f>HYPERLINK("http://www.twitter.com/NathanBLawrence/status/900760866915831808", "900760866915831808")</f>
        <v/>
      </c>
      <c r="B2813" s="2" t="n">
        <v>42971.69791666666</v>
      </c>
      <c r="C2813" t="n">
        <v>0</v>
      </c>
      <c r="D2813" t="n">
        <v>0</v>
      </c>
      <c r="E2813" t="s">
        <v>2822</v>
      </c>
      <c r="F2813" t="s"/>
      <c r="G2813" t="s"/>
      <c r="H2813" t="s"/>
      <c r="I2813" t="s"/>
      <c r="J2813" t="n">
        <v>0.0772</v>
      </c>
      <c r="K2813" t="n">
        <v>0</v>
      </c>
      <c r="L2813" t="n">
        <v>0.86</v>
      </c>
      <c r="M2813" t="n">
        <v>0.14</v>
      </c>
    </row>
    <row r="2814" spans="1:13">
      <c r="A2814" s="1">
        <f>HYPERLINK("http://www.twitter.com/NathanBLawrence/status/900760639823646720", "900760639823646720")</f>
        <v/>
      </c>
      <c r="B2814" s="2" t="n">
        <v>42971.69729166666</v>
      </c>
      <c r="C2814" t="n">
        <v>0</v>
      </c>
      <c r="D2814" t="n">
        <v>0</v>
      </c>
      <c r="E2814" t="s">
        <v>2823</v>
      </c>
      <c r="F2814" t="s"/>
      <c r="G2814" t="s"/>
      <c r="H2814" t="s"/>
      <c r="I2814" t="s"/>
      <c r="J2814" t="n">
        <v>0</v>
      </c>
      <c r="K2814" t="n">
        <v>0</v>
      </c>
      <c r="L2814" t="n">
        <v>1</v>
      </c>
      <c r="M2814" t="n">
        <v>0</v>
      </c>
    </row>
    <row r="2815" spans="1:13">
      <c r="A2815" s="1">
        <f>HYPERLINK("http://www.twitter.com/NathanBLawrence/status/900760479643127808", "900760479643127808")</f>
        <v/>
      </c>
      <c r="B2815" s="2" t="n">
        <v>42971.69685185186</v>
      </c>
      <c r="C2815" t="n">
        <v>0</v>
      </c>
      <c r="D2815" t="n">
        <v>0</v>
      </c>
      <c r="E2815" t="s">
        <v>2824</v>
      </c>
      <c r="F2815" t="s"/>
      <c r="G2815" t="s"/>
      <c r="H2815" t="s"/>
      <c r="I2815" t="s"/>
      <c r="J2815" t="n">
        <v>0.4019</v>
      </c>
      <c r="K2815" t="n">
        <v>0</v>
      </c>
      <c r="L2815" t="n">
        <v>0.526</v>
      </c>
      <c r="M2815" t="n">
        <v>0.474</v>
      </c>
    </row>
    <row r="2816" spans="1:13">
      <c r="A2816" s="1">
        <f>HYPERLINK("http://www.twitter.com/NathanBLawrence/status/900760303708889088", "900760303708889088")</f>
        <v/>
      </c>
      <c r="B2816" s="2" t="n">
        <v>42971.69636574074</v>
      </c>
      <c r="C2816" t="n">
        <v>0</v>
      </c>
      <c r="D2816" t="n">
        <v>0</v>
      </c>
      <c r="E2816" t="s">
        <v>2825</v>
      </c>
      <c r="F2816" t="s"/>
      <c r="G2816" t="s"/>
      <c r="H2816" t="s"/>
      <c r="I2816" t="s"/>
      <c r="J2816" t="n">
        <v>0.3182</v>
      </c>
      <c r="K2816" t="n">
        <v>0</v>
      </c>
      <c r="L2816" t="n">
        <v>0.777</v>
      </c>
      <c r="M2816" t="n">
        <v>0.223</v>
      </c>
    </row>
    <row r="2817" spans="1:13">
      <c r="A2817" s="1">
        <f>HYPERLINK("http://www.twitter.com/NathanBLawrence/status/900760102172536834", "900760102172536834")</f>
        <v/>
      </c>
      <c r="B2817" s="2" t="n">
        <v>42971.69581018519</v>
      </c>
      <c r="C2817" t="n">
        <v>0</v>
      </c>
      <c r="D2817" t="n">
        <v>0</v>
      </c>
      <c r="E2817" t="s">
        <v>2826</v>
      </c>
      <c r="F2817" t="s"/>
      <c r="G2817" t="s"/>
      <c r="H2817" t="s"/>
      <c r="I2817" t="s"/>
      <c r="J2817" t="n">
        <v>0</v>
      </c>
      <c r="K2817" t="n">
        <v>0</v>
      </c>
      <c r="L2817" t="n">
        <v>1</v>
      </c>
      <c r="M2817" t="n">
        <v>0</v>
      </c>
    </row>
    <row r="2818" spans="1:13">
      <c r="A2818" s="1">
        <f>HYPERLINK("http://www.twitter.com/NathanBLawrence/status/900759927953797120", "900759927953797120")</f>
        <v/>
      </c>
      <c r="B2818" s="2" t="n">
        <v>42971.69532407408</v>
      </c>
      <c r="C2818" t="n">
        <v>1</v>
      </c>
      <c r="D2818" t="n">
        <v>0</v>
      </c>
      <c r="E2818" t="s">
        <v>2827</v>
      </c>
      <c r="F2818" t="s"/>
      <c r="G2818" t="s"/>
      <c r="H2818" t="s"/>
      <c r="I2818" t="s"/>
      <c r="J2818" t="n">
        <v>-0.3818</v>
      </c>
      <c r="K2818" t="n">
        <v>0.191</v>
      </c>
      <c r="L2818" t="n">
        <v>0.8090000000000001</v>
      </c>
      <c r="M2818" t="n">
        <v>0</v>
      </c>
    </row>
    <row r="2819" spans="1:13">
      <c r="A2819" s="1">
        <f>HYPERLINK("http://www.twitter.com/NathanBLawrence/status/900759140569681921", "900759140569681921")</f>
        <v/>
      </c>
      <c r="B2819" s="2" t="n">
        <v>42971.69315972222</v>
      </c>
      <c r="C2819" t="n">
        <v>0</v>
      </c>
      <c r="D2819" t="n">
        <v>0</v>
      </c>
      <c r="E2819" t="s">
        <v>2828</v>
      </c>
      <c r="F2819" t="s"/>
      <c r="G2819" t="s"/>
      <c r="H2819" t="s"/>
      <c r="I2819" t="s"/>
      <c r="J2819" t="n">
        <v>0</v>
      </c>
      <c r="K2819" t="n">
        <v>0</v>
      </c>
      <c r="L2819" t="n">
        <v>1</v>
      </c>
      <c r="M2819" t="n">
        <v>0</v>
      </c>
    </row>
    <row r="2820" spans="1:13">
      <c r="A2820" s="1">
        <f>HYPERLINK("http://www.twitter.com/NathanBLawrence/status/900758693331042304", "900758693331042304")</f>
        <v/>
      </c>
      <c r="B2820" s="2" t="n">
        <v>42971.6919212963</v>
      </c>
      <c r="C2820" t="n">
        <v>0</v>
      </c>
      <c r="D2820" t="n">
        <v>0</v>
      </c>
      <c r="E2820" t="s">
        <v>2829</v>
      </c>
      <c r="F2820" t="s"/>
      <c r="G2820" t="s"/>
      <c r="H2820" t="s"/>
      <c r="I2820" t="s"/>
      <c r="J2820" t="n">
        <v>0</v>
      </c>
      <c r="K2820" t="n">
        <v>0</v>
      </c>
      <c r="L2820" t="n">
        <v>1</v>
      </c>
      <c r="M2820" t="n">
        <v>0</v>
      </c>
    </row>
    <row r="2821" spans="1:13">
      <c r="A2821" s="1">
        <f>HYPERLINK("http://www.twitter.com/NathanBLawrence/status/900758440414507008", "900758440414507008")</f>
        <v/>
      </c>
      <c r="B2821" s="2" t="n">
        <v>42971.69122685185</v>
      </c>
      <c r="C2821" t="n">
        <v>0</v>
      </c>
      <c r="D2821" t="n">
        <v>0</v>
      </c>
      <c r="E2821" t="s">
        <v>2830</v>
      </c>
      <c r="F2821" t="s"/>
      <c r="G2821" t="s"/>
      <c r="H2821" t="s"/>
      <c r="I2821" t="s"/>
      <c r="J2821" t="n">
        <v>0</v>
      </c>
      <c r="K2821" t="n">
        <v>0</v>
      </c>
      <c r="L2821" t="n">
        <v>1</v>
      </c>
      <c r="M2821" t="n">
        <v>0</v>
      </c>
    </row>
    <row r="2822" spans="1:13">
      <c r="A2822" s="1">
        <f>HYPERLINK("http://www.twitter.com/NathanBLawrence/status/900758027128713216", "900758027128713216")</f>
        <v/>
      </c>
      <c r="B2822" s="2" t="n">
        <v>42971.69008101852</v>
      </c>
      <c r="C2822" t="n">
        <v>0</v>
      </c>
      <c r="D2822" t="n">
        <v>0</v>
      </c>
      <c r="E2822" t="s">
        <v>2831</v>
      </c>
      <c r="F2822" t="s"/>
      <c r="G2822" t="s"/>
      <c r="H2822" t="s"/>
      <c r="I2822" t="s"/>
      <c r="J2822" t="n">
        <v>0.296</v>
      </c>
      <c r="K2822" t="n">
        <v>0</v>
      </c>
      <c r="L2822" t="n">
        <v>0.694</v>
      </c>
      <c r="M2822" t="n">
        <v>0.306</v>
      </c>
    </row>
    <row r="2823" spans="1:13">
      <c r="A2823" s="1">
        <f>HYPERLINK("http://www.twitter.com/NathanBLawrence/status/900753597796933633", "900753597796933633")</f>
        <v/>
      </c>
      <c r="B2823" s="2" t="n">
        <v>42971.6778587963</v>
      </c>
      <c r="C2823" t="n">
        <v>0</v>
      </c>
      <c r="D2823" t="n">
        <v>0</v>
      </c>
      <c r="E2823" t="s">
        <v>2832</v>
      </c>
      <c r="F2823">
        <f>HYPERLINK("http://pbs.twimg.com/media/DIAenjRVwAAwVL5.jpg", "http://pbs.twimg.com/media/DIAenjRVwAAwVL5.jpg")</f>
        <v/>
      </c>
      <c r="G2823" t="s"/>
      <c r="H2823" t="s"/>
      <c r="I2823" t="s"/>
      <c r="J2823" t="n">
        <v>0</v>
      </c>
      <c r="K2823" t="n">
        <v>0</v>
      </c>
      <c r="L2823" t="n">
        <v>1</v>
      </c>
      <c r="M2823" t="n">
        <v>0</v>
      </c>
    </row>
    <row r="2824" spans="1:13">
      <c r="A2824" s="1">
        <f>HYPERLINK("http://www.twitter.com/NathanBLawrence/status/900753051287506948", "900753051287506948")</f>
        <v/>
      </c>
      <c r="B2824" s="2" t="n">
        <v>42971.67635416667</v>
      </c>
      <c r="C2824" t="n">
        <v>0</v>
      </c>
      <c r="D2824" t="n">
        <v>0</v>
      </c>
      <c r="E2824" t="s">
        <v>2833</v>
      </c>
      <c r="F2824" t="s"/>
      <c r="G2824" t="s"/>
      <c r="H2824" t="s"/>
      <c r="I2824" t="s"/>
      <c r="J2824" t="n">
        <v>0</v>
      </c>
      <c r="K2824" t="n">
        <v>0</v>
      </c>
      <c r="L2824" t="n">
        <v>1</v>
      </c>
      <c r="M2824" t="n">
        <v>0</v>
      </c>
    </row>
    <row r="2825" spans="1:13">
      <c r="A2825" s="1">
        <f>HYPERLINK("http://www.twitter.com/NathanBLawrence/status/900698835550441472", "900698835550441472")</f>
        <v/>
      </c>
      <c r="B2825" s="2" t="n">
        <v>42971.52674768519</v>
      </c>
      <c r="C2825" t="n">
        <v>0</v>
      </c>
      <c r="D2825" t="n">
        <v>0</v>
      </c>
      <c r="E2825" t="s">
        <v>2834</v>
      </c>
      <c r="F2825" t="s"/>
      <c r="G2825" t="s"/>
      <c r="H2825" t="s"/>
      <c r="I2825" t="s"/>
      <c r="J2825" t="n">
        <v>0</v>
      </c>
      <c r="K2825" t="n">
        <v>0</v>
      </c>
      <c r="L2825" t="n">
        <v>1</v>
      </c>
      <c r="M2825" t="n">
        <v>0</v>
      </c>
    </row>
    <row r="2826" spans="1:13">
      <c r="A2826" s="1">
        <f>HYPERLINK("http://www.twitter.com/NathanBLawrence/status/900696168153460738", "900696168153460738")</f>
        <v/>
      </c>
      <c r="B2826" s="2" t="n">
        <v>42971.51938657407</v>
      </c>
      <c r="C2826" t="n">
        <v>0</v>
      </c>
      <c r="D2826" t="n">
        <v>566</v>
      </c>
      <c r="E2826" t="s">
        <v>2835</v>
      </c>
      <c r="F2826" t="s"/>
      <c r="G2826" t="s"/>
      <c r="H2826" t="s"/>
      <c r="I2826" t="s"/>
      <c r="J2826" t="n">
        <v>0.4574</v>
      </c>
      <c r="K2826" t="n">
        <v>0</v>
      </c>
      <c r="L2826" t="n">
        <v>0.77</v>
      </c>
      <c r="M2826" t="n">
        <v>0.23</v>
      </c>
    </row>
    <row r="2827" spans="1:13">
      <c r="A2827" s="1">
        <f>HYPERLINK("http://www.twitter.com/NathanBLawrence/status/900501561964711936", "900501561964711936")</f>
        <v/>
      </c>
      <c r="B2827" s="2" t="n">
        <v>42970.98237268518</v>
      </c>
      <c r="C2827" t="n">
        <v>0</v>
      </c>
      <c r="D2827" t="n">
        <v>0</v>
      </c>
      <c r="E2827" t="s">
        <v>2836</v>
      </c>
      <c r="F2827" t="s"/>
      <c r="G2827" t="s"/>
      <c r="H2827" t="s"/>
      <c r="I2827" t="s"/>
      <c r="J2827" t="n">
        <v>0.6249</v>
      </c>
      <c r="K2827" t="n">
        <v>0</v>
      </c>
      <c r="L2827" t="n">
        <v>0.594</v>
      </c>
      <c r="M2827" t="n">
        <v>0.406</v>
      </c>
    </row>
    <row r="2828" spans="1:13">
      <c r="A2828" s="1">
        <f>HYPERLINK("http://www.twitter.com/NathanBLawrence/status/900452909447565312", "900452909447565312")</f>
        <v/>
      </c>
      <c r="B2828" s="2" t="n">
        <v>42970.84811342593</v>
      </c>
      <c r="C2828" t="n">
        <v>0</v>
      </c>
      <c r="D2828" t="n">
        <v>10559</v>
      </c>
      <c r="E2828" t="s">
        <v>2837</v>
      </c>
      <c r="F2828">
        <f>HYPERLINK("https://video.twimg.com/ext_tw_video/900208598835507200/pu/vid/1280x720/a2m3TuJ0JNE1HmJO.mp4", "https://video.twimg.com/ext_tw_video/900208598835507200/pu/vid/1280x720/a2m3TuJ0JNE1HmJO.mp4")</f>
        <v/>
      </c>
      <c r="G2828" t="s"/>
      <c r="H2828" t="s"/>
      <c r="I2828" t="s"/>
      <c r="J2828" t="n">
        <v>-0.34</v>
      </c>
      <c r="K2828" t="n">
        <v>0.112</v>
      </c>
      <c r="L2828" t="n">
        <v>0.888</v>
      </c>
      <c r="M2828" t="n">
        <v>0</v>
      </c>
    </row>
    <row r="2829" spans="1:13">
      <c r="A2829" s="1">
        <f>HYPERLINK("http://www.twitter.com/NathanBLawrence/status/900425647109136384", "900425647109136384")</f>
        <v/>
      </c>
      <c r="B2829" s="2" t="n">
        <v>42970.77289351852</v>
      </c>
      <c r="C2829" t="n">
        <v>0</v>
      </c>
      <c r="D2829" t="n">
        <v>0</v>
      </c>
      <c r="E2829" t="s">
        <v>2838</v>
      </c>
      <c r="F2829">
        <f>HYPERLINK("http://pbs.twimg.com/media/DH70WSoU0AAeftq.jpg", "http://pbs.twimg.com/media/DH70WSoU0AAeftq.jpg")</f>
        <v/>
      </c>
      <c r="G2829" t="s"/>
      <c r="H2829" t="s"/>
      <c r="I2829" t="s"/>
      <c r="J2829" t="n">
        <v>0</v>
      </c>
      <c r="K2829" t="n">
        <v>0</v>
      </c>
      <c r="L2829" t="n">
        <v>1</v>
      </c>
      <c r="M2829" t="n">
        <v>0</v>
      </c>
    </row>
    <row r="2830" spans="1:13">
      <c r="A2830" s="1">
        <f>HYPERLINK("http://www.twitter.com/NathanBLawrence/status/900425533741301760", "900425533741301760")</f>
        <v/>
      </c>
      <c r="B2830" s="2" t="n">
        <v>42970.77256944445</v>
      </c>
      <c r="C2830" t="n">
        <v>2</v>
      </c>
      <c r="D2830" t="n">
        <v>0</v>
      </c>
      <c r="E2830" t="s">
        <v>2839</v>
      </c>
      <c r="F2830" t="s"/>
      <c r="G2830" t="s"/>
      <c r="H2830" t="s"/>
      <c r="I2830" t="s"/>
      <c r="J2830" t="n">
        <v>-0.6973</v>
      </c>
      <c r="K2830" t="n">
        <v>0.614</v>
      </c>
      <c r="L2830" t="n">
        <v>0.386</v>
      </c>
      <c r="M2830" t="n">
        <v>0</v>
      </c>
    </row>
    <row r="2831" spans="1:13">
      <c r="A2831" s="1">
        <f>HYPERLINK("http://www.twitter.com/NathanBLawrence/status/900408537855209472", "900408537855209472")</f>
        <v/>
      </c>
      <c r="B2831" s="2" t="n">
        <v>42970.7256712963</v>
      </c>
      <c r="C2831" t="n">
        <v>0</v>
      </c>
      <c r="D2831" t="n">
        <v>0</v>
      </c>
      <c r="E2831" t="s">
        <v>2840</v>
      </c>
      <c r="F2831" t="s"/>
      <c r="G2831" t="s"/>
      <c r="H2831" t="s"/>
      <c r="I2831" t="s"/>
      <c r="J2831" t="n">
        <v>-0.2411</v>
      </c>
      <c r="K2831" t="n">
        <v>0.103</v>
      </c>
      <c r="L2831" t="n">
        <v>0.897</v>
      </c>
      <c r="M2831" t="n">
        <v>0</v>
      </c>
    </row>
    <row r="2832" spans="1:13">
      <c r="A2832" s="1">
        <f>HYPERLINK("http://www.twitter.com/NathanBLawrence/status/900408071415005184", "900408071415005184")</f>
        <v/>
      </c>
      <c r="B2832" s="2" t="n">
        <v>42970.72438657407</v>
      </c>
      <c r="C2832" t="n">
        <v>0</v>
      </c>
      <c r="D2832" t="n">
        <v>0</v>
      </c>
      <c r="E2832" t="s">
        <v>2841</v>
      </c>
      <c r="F2832" t="s"/>
      <c r="G2832" t="s"/>
      <c r="H2832" t="s"/>
      <c r="I2832" t="s"/>
      <c r="J2832" t="n">
        <v>0.4291</v>
      </c>
      <c r="K2832" t="n">
        <v>0</v>
      </c>
      <c r="L2832" t="n">
        <v>0.779</v>
      </c>
      <c r="M2832" t="n">
        <v>0.221</v>
      </c>
    </row>
    <row r="2833" spans="1:13">
      <c r="A2833" s="1">
        <f>HYPERLINK("http://www.twitter.com/NathanBLawrence/status/900399696505696256", "900399696505696256")</f>
        <v/>
      </c>
      <c r="B2833" s="2" t="n">
        <v>42970.70127314814</v>
      </c>
      <c r="C2833" t="n">
        <v>3</v>
      </c>
      <c r="D2833" t="n">
        <v>0</v>
      </c>
      <c r="E2833" t="s">
        <v>2842</v>
      </c>
      <c r="F2833" t="s"/>
      <c r="G2833" t="s"/>
      <c r="H2833" t="s"/>
      <c r="I2833" t="s"/>
      <c r="J2833" t="n">
        <v>0</v>
      </c>
      <c r="K2833" t="n">
        <v>0</v>
      </c>
      <c r="L2833" t="n">
        <v>1</v>
      </c>
      <c r="M2833" t="n">
        <v>0</v>
      </c>
    </row>
    <row r="2834" spans="1:13">
      <c r="A2834" s="1">
        <f>HYPERLINK("http://www.twitter.com/NathanBLawrence/status/900396063433117696", "900396063433117696")</f>
        <v/>
      </c>
      <c r="B2834" s="2" t="n">
        <v>42970.69125</v>
      </c>
      <c r="C2834" t="n">
        <v>0</v>
      </c>
      <c r="D2834" t="n">
        <v>0</v>
      </c>
      <c r="E2834" t="s">
        <v>2843</v>
      </c>
      <c r="F2834">
        <f>HYPERLINK("http://pbs.twimg.com/media/DH7ZcSvUAAAsW_u.jpg", "http://pbs.twimg.com/media/DH7ZcSvUAAAsW_u.jpg")</f>
        <v/>
      </c>
      <c r="G2834" t="s"/>
      <c r="H2834" t="s"/>
      <c r="I2834" t="s"/>
      <c r="J2834" t="n">
        <v>0</v>
      </c>
      <c r="K2834" t="n">
        <v>0</v>
      </c>
      <c r="L2834" t="n">
        <v>1</v>
      </c>
      <c r="M2834" t="n">
        <v>0</v>
      </c>
    </row>
    <row r="2835" spans="1:13">
      <c r="A2835" s="1">
        <f>HYPERLINK("http://www.twitter.com/NathanBLawrence/status/900393887868616707", "900393887868616707")</f>
        <v/>
      </c>
      <c r="B2835" s="2" t="n">
        <v>42970.68525462963</v>
      </c>
      <c r="C2835" t="n">
        <v>0</v>
      </c>
      <c r="D2835" t="n">
        <v>625</v>
      </c>
      <c r="E2835" t="s">
        <v>2844</v>
      </c>
      <c r="F2835">
        <f>HYPERLINK("http://pbs.twimg.com/media/DHxjOyQVoAA9veY.jpg", "http://pbs.twimg.com/media/DHxjOyQVoAA9veY.jpg")</f>
        <v/>
      </c>
      <c r="G2835" t="s"/>
      <c r="H2835" t="s"/>
      <c r="I2835" t="s"/>
      <c r="J2835" t="n">
        <v>0</v>
      </c>
      <c r="K2835" t="n">
        <v>0</v>
      </c>
      <c r="L2835" t="n">
        <v>1</v>
      </c>
      <c r="M2835" t="n">
        <v>0</v>
      </c>
    </row>
    <row r="2836" spans="1:13">
      <c r="A2836" s="1">
        <f>HYPERLINK("http://www.twitter.com/NathanBLawrence/status/900325522609238018", "900325522609238018")</f>
        <v/>
      </c>
      <c r="B2836" s="2" t="n">
        <v>42970.49659722222</v>
      </c>
      <c r="C2836" t="n">
        <v>1</v>
      </c>
      <c r="D2836" t="n">
        <v>0</v>
      </c>
      <c r="E2836" t="s">
        <v>2845</v>
      </c>
      <c r="F2836" t="s"/>
      <c r="G2836" t="s"/>
      <c r="H2836" t="s"/>
      <c r="I2836" t="s"/>
      <c r="J2836" t="n">
        <v>-0.2263</v>
      </c>
      <c r="K2836" t="n">
        <v>0.119</v>
      </c>
      <c r="L2836" t="n">
        <v>0.8110000000000001</v>
      </c>
      <c r="M2836" t="n">
        <v>0.07000000000000001</v>
      </c>
    </row>
    <row r="2837" spans="1:13">
      <c r="A2837" s="1">
        <f>HYPERLINK("http://www.twitter.com/NathanBLawrence/status/900325152457674752", "900325152457674752")</f>
        <v/>
      </c>
      <c r="B2837" s="2" t="n">
        <v>42970.4955787037</v>
      </c>
      <c r="C2837" t="n">
        <v>1</v>
      </c>
      <c r="D2837" t="n">
        <v>0</v>
      </c>
      <c r="E2837" t="s">
        <v>2846</v>
      </c>
      <c r="F2837" t="s"/>
      <c r="G2837" t="s"/>
      <c r="H2837" t="s"/>
      <c r="I2837" t="s"/>
      <c r="J2837" t="n">
        <v>0</v>
      </c>
      <c r="K2837" t="n">
        <v>0</v>
      </c>
      <c r="L2837" t="n">
        <v>1</v>
      </c>
      <c r="M2837" t="n">
        <v>0</v>
      </c>
    </row>
    <row r="2838" spans="1:13">
      <c r="A2838" s="1">
        <f>HYPERLINK("http://www.twitter.com/NathanBLawrence/status/900198846999011328", "900198846999011328")</f>
        <v/>
      </c>
      <c r="B2838" s="2" t="n">
        <v>42970.14703703704</v>
      </c>
      <c r="C2838" t="n">
        <v>0</v>
      </c>
      <c r="D2838" t="n">
        <v>0</v>
      </c>
      <c r="E2838" t="s">
        <v>2847</v>
      </c>
      <c r="F2838" t="s"/>
      <c r="G2838" t="s"/>
      <c r="H2838" t="s"/>
      <c r="I2838" t="s"/>
      <c r="J2838" t="n">
        <v>0.3182</v>
      </c>
      <c r="K2838" t="n">
        <v>0</v>
      </c>
      <c r="L2838" t="n">
        <v>0.465</v>
      </c>
      <c r="M2838" t="n">
        <v>0.535</v>
      </c>
    </row>
    <row r="2839" spans="1:13">
      <c r="A2839" s="1">
        <f>HYPERLINK("http://www.twitter.com/NathanBLawrence/status/900194543919931393", "900194543919931393")</f>
        <v/>
      </c>
      <c r="B2839" s="2" t="n">
        <v>42970.13516203704</v>
      </c>
      <c r="C2839" t="n">
        <v>0</v>
      </c>
      <c r="D2839" t="n">
        <v>0</v>
      </c>
      <c r="E2839" t="s">
        <v>2848</v>
      </c>
      <c r="F2839" t="s"/>
      <c r="G2839" t="s"/>
      <c r="H2839" t="s"/>
      <c r="I2839" t="s"/>
      <c r="J2839" t="n">
        <v>0</v>
      </c>
      <c r="K2839" t="n">
        <v>0</v>
      </c>
      <c r="L2839" t="n">
        <v>1</v>
      </c>
      <c r="M2839" t="n">
        <v>0</v>
      </c>
    </row>
    <row r="2840" spans="1:13">
      <c r="A2840" s="1">
        <f>HYPERLINK("http://www.twitter.com/NathanBLawrence/status/900192564514611200", "900192564514611200")</f>
        <v/>
      </c>
      <c r="B2840" s="2" t="n">
        <v>42970.12969907407</v>
      </c>
      <c r="C2840" t="n">
        <v>0</v>
      </c>
      <c r="D2840" t="n">
        <v>4</v>
      </c>
      <c r="E2840" t="s">
        <v>2849</v>
      </c>
      <c r="F2840" t="s"/>
      <c r="G2840" t="s"/>
      <c r="H2840" t="s"/>
      <c r="I2840" t="s"/>
      <c r="J2840" t="n">
        <v>0</v>
      </c>
      <c r="K2840" t="n">
        <v>0</v>
      </c>
      <c r="L2840" t="n">
        <v>1</v>
      </c>
      <c r="M2840" t="n">
        <v>0</v>
      </c>
    </row>
    <row r="2841" spans="1:13">
      <c r="A2841" s="1">
        <f>HYPERLINK("http://www.twitter.com/NathanBLawrence/status/900192315121299456", "900192315121299456")</f>
        <v/>
      </c>
      <c r="B2841" s="2" t="n">
        <v>42970.1290162037</v>
      </c>
      <c r="C2841" t="n">
        <v>2</v>
      </c>
      <c r="D2841" t="n">
        <v>0</v>
      </c>
      <c r="E2841" t="s">
        <v>2850</v>
      </c>
      <c r="F2841" t="s"/>
      <c r="G2841" t="s"/>
      <c r="H2841" t="s"/>
      <c r="I2841" t="s"/>
      <c r="J2841" t="n">
        <v>-0.7556</v>
      </c>
      <c r="K2841" t="n">
        <v>0.393</v>
      </c>
      <c r="L2841" t="n">
        <v>0.607</v>
      </c>
      <c r="M2841" t="n">
        <v>0</v>
      </c>
    </row>
    <row r="2842" spans="1:13">
      <c r="A2842" s="1">
        <f>HYPERLINK("http://www.twitter.com/NathanBLawrence/status/900191137469796352", "900191137469796352")</f>
        <v/>
      </c>
      <c r="B2842" s="2" t="n">
        <v>42970.12576388889</v>
      </c>
      <c r="C2842" t="n">
        <v>0</v>
      </c>
      <c r="D2842" t="n">
        <v>0</v>
      </c>
      <c r="E2842" t="s">
        <v>2851</v>
      </c>
      <c r="F2842" t="s"/>
      <c r="G2842" t="s"/>
      <c r="H2842" t="s"/>
      <c r="I2842" t="s"/>
      <c r="J2842" t="n">
        <v>0.296</v>
      </c>
      <c r="K2842" t="n">
        <v>0</v>
      </c>
      <c r="L2842" t="n">
        <v>0.804</v>
      </c>
      <c r="M2842" t="n">
        <v>0.196</v>
      </c>
    </row>
    <row r="2843" spans="1:13">
      <c r="A2843" s="1">
        <f>HYPERLINK("http://www.twitter.com/NathanBLawrence/status/900189981842567168", "900189981842567168")</f>
        <v/>
      </c>
      <c r="B2843" s="2" t="n">
        <v>42970.12258101852</v>
      </c>
      <c r="C2843" t="n">
        <v>0</v>
      </c>
      <c r="D2843" t="n">
        <v>82</v>
      </c>
      <c r="E2843" t="s">
        <v>2852</v>
      </c>
      <c r="F2843" t="s"/>
      <c r="G2843" t="s"/>
      <c r="H2843" t="s"/>
      <c r="I2843" t="s"/>
      <c r="J2843" t="n">
        <v>0.6289</v>
      </c>
      <c r="K2843" t="n">
        <v>0</v>
      </c>
      <c r="L2843" t="n">
        <v>0.6820000000000001</v>
      </c>
      <c r="M2843" t="n">
        <v>0.318</v>
      </c>
    </row>
    <row r="2844" spans="1:13">
      <c r="A2844" s="1">
        <f>HYPERLINK("http://www.twitter.com/NathanBLawrence/status/900188925184135169", "900188925184135169")</f>
        <v/>
      </c>
      <c r="B2844" s="2" t="n">
        <v>42970.11966435185</v>
      </c>
      <c r="C2844" t="n">
        <v>3</v>
      </c>
      <c r="D2844" t="n">
        <v>0</v>
      </c>
      <c r="E2844" t="s">
        <v>2853</v>
      </c>
      <c r="F2844" t="s"/>
      <c r="G2844" t="s"/>
      <c r="H2844" t="s"/>
      <c r="I2844" t="s"/>
      <c r="J2844" t="n">
        <v>0.1027</v>
      </c>
      <c r="K2844" t="n">
        <v>0.159</v>
      </c>
      <c r="L2844" t="n">
        <v>0.659</v>
      </c>
      <c r="M2844" t="n">
        <v>0.181</v>
      </c>
    </row>
    <row r="2845" spans="1:13">
      <c r="A2845" s="1">
        <f>HYPERLINK("http://www.twitter.com/NathanBLawrence/status/900169457909342208", "900169457909342208")</f>
        <v/>
      </c>
      <c r="B2845" s="2" t="n">
        <v>42970.0659375</v>
      </c>
      <c r="C2845" t="n">
        <v>2</v>
      </c>
      <c r="D2845" t="n">
        <v>0</v>
      </c>
      <c r="E2845" t="s">
        <v>2854</v>
      </c>
      <c r="F2845" t="s"/>
      <c r="G2845" t="s"/>
      <c r="H2845" t="s"/>
      <c r="I2845" t="s"/>
      <c r="J2845" t="n">
        <v>0</v>
      </c>
      <c r="K2845" t="n">
        <v>0</v>
      </c>
      <c r="L2845" t="n">
        <v>1</v>
      </c>
      <c r="M2845" t="n">
        <v>0</v>
      </c>
    </row>
    <row r="2846" spans="1:13">
      <c r="A2846" s="1">
        <f>HYPERLINK("http://www.twitter.com/NathanBLawrence/status/900168000493543424", "900168000493543424")</f>
        <v/>
      </c>
      <c r="B2846" s="2" t="n">
        <v>42970.0619212963</v>
      </c>
      <c r="C2846" t="n">
        <v>0</v>
      </c>
      <c r="D2846" t="n">
        <v>0</v>
      </c>
      <c r="E2846" t="s">
        <v>2855</v>
      </c>
      <c r="F2846" t="s"/>
      <c r="G2846" t="s"/>
      <c r="H2846" t="s"/>
      <c r="I2846" t="s"/>
      <c r="J2846" t="n">
        <v>0</v>
      </c>
      <c r="K2846" t="n">
        <v>0</v>
      </c>
      <c r="L2846" t="n">
        <v>1</v>
      </c>
      <c r="M2846" t="n">
        <v>0</v>
      </c>
    </row>
    <row r="2847" spans="1:13">
      <c r="A2847" s="1">
        <f>HYPERLINK("http://www.twitter.com/NathanBLawrence/status/900147989674590208", "900147989674590208")</f>
        <v/>
      </c>
      <c r="B2847" s="2" t="n">
        <v>42970.00670138889</v>
      </c>
      <c r="C2847" t="n">
        <v>0</v>
      </c>
      <c r="D2847" t="n">
        <v>0</v>
      </c>
      <c r="E2847" t="s">
        <v>2856</v>
      </c>
      <c r="F2847" t="s"/>
      <c r="G2847" t="s"/>
      <c r="H2847" t="s"/>
      <c r="I2847" t="s"/>
      <c r="J2847" t="n">
        <v>0</v>
      </c>
      <c r="K2847" t="n">
        <v>0</v>
      </c>
      <c r="L2847" t="n">
        <v>1</v>
      </c>
      <c r="M2847" t="n">
        <v>0</v>
      </c>
    </row>
    <row r="2848" spans="1:13">
      <c r="A2848" s="1">
        <f>HYPERLINK("http://www.twitter.com/NathanBLawrence/status/900142470025138176", "900142470025138176")</f>
        <v/>
      </c>
      <c r="B2848" s="2" t="n">
        <v>42969.99146990741</v>
      </c>
      <c r="C2848" t="n">
        <v>0</v>
      </c>
      <c r="D2848" t="n">
        <v>0</v>
      </c>
      <c r="E2848" t="s">
        <v>2857</v>
      </c>
      <c r="F2848" t="s"/>
      <c r="G2848" t="s"/>
      <c r="H2848" t="s"/>
      <c r="I2848" t="s"/>
      <c r="J2848" t="n">
        <v>0</v>
      </c>
      <c r="K2848" t="n">
        <v>0</v>
      </c>
      <c r="L2848" t="n">
        <v>1</v>
      </c>
      <c r="M2848" t="n">
        <v>0</v>
      </c>
    </row>
    <row r="2849" spans="1:13">
      <c r="A2849" s="1">
        <f>HYPERLINK("http://www.twitter.com/NathanBLawrence/status/900140994884243456", "900140994884243456")</f>
        <v/>
      </c>
      <c r="B2849" s="2" t="n">
        <v>42969.98739583333</v>
      </c>
      <c r="C2849" t="n">
        <v>4</v>
      </c>
      <c r="D2849" t="n">
        <v>1</v>
      </c>
      <c r="E2849" t="s">
        <v>2858</v>
      </c>
      <c r="F2849" t="s"/>
      <c r="G2849" t="s"/>
      <c r="H2849" t="s"/>
      <c r="I2849" t="s"/>
      <c r="J2849" t="n">
        <v>0</v>
      </c>
      <c r="K2849" t="n">
        <v>0</v>
      </c>
      <c r="L2849" t="n">
        <v>1</v>
      </c>
      <c r="M2849" t="n">
        <v>0</v>
      </c>
    </row>
    <row r="2850" spans="1:13">
      <c r="A2850" s="1">
        <f>HYPERLINK("http://www.twitter.com/NathanBLawrence/status/900124878279495681", "900124878279495681")</f>
        <v/>
      </c>
      <c r="B2850" s="2" t="n">
        <v>42969.94292824074</v>
      </c>
      <c r="C2850" t="n">
        <v>2</v>
      </c>
      <c r="D2850" t="n">
        <v>1</v>
      </c>
      <c r="E2850" t="s">
        <v>2859</v>
      </c>
      <c r="F2850" t="s"/>
      <c r="G2850" t="s"/>
      <c r="H2850" t="s"/>
      <c r="I2850" t="s"/>
      <c r="J2850" t="n">
        <v>0</v>
      </c>
      <c r="K2850" t="n">
        <v>0</v>
      </c>
      <c r="L2850" t="n">
        <v>1</v>
      </c>
      <c r="M2850" t="n">
        <v>0</v>
      </c>
    </row>
    <row r="2851" spans="1:13">
      <c r="A2851" s="1">
        <f>HYPERLINK("http://www.twitter.com/NathanBLawrence/status/900055875603361793", "900055875603361793")</f>
        <v/>
      </c>
      <c r="B2851" s="2" t="n">
        <v>42969.75251157407</v>
      </c>
      <c r="C2851" t="n">
        <v>0</v>
      </c>
      <c r="D2851" t="n">
        <v>0</v>
      </c>
      <c r="E2851" t="s">
        <v>2860</v>
      </c>
      <c r="F2851" t="s"/>
      <c r="G2851" t="s"/>
      <c r="H2851" t="s"/>
      <c r="I2851" t="s"/>
      <c r="J2851" t="n">
        <v>0.368</v>
      </c>
      <c r="K2851" t="n">
        <v>0</v>
      </c>
      <c r="L2851" t="n">
        <v>0.441</v>
      </c>
      <c r="M2851" t="n">
        <v>0.5590000000000001</v>
      </c>
    </row>
    <row r="2852" spans="1:13">
      <c r="A2852" s="1">
        <f>HYPERLINK("http://www.twitter.com/NathanBLawrence/status/900032830457204737", "900032830457204737")</f>
        <v/>
      </c>
      <c r="B2852" s="2" t="n">
        <v>42969.68892361111</v>
      </c>
      <c r="C2852" t="n">
        <v>0</v>
      </c>
      <c r="D2852" t="n">
        <v>0</v>
      </c>
      <c r="E2852" t="s">
        <v>2861</v>
      </c>
      <c r="F2852" t="s"/>
      <c r="G2852" t="s"/>
      <c r="H2852" t="s"/>
      <c r="I2852" t="s"/>
      <c r="J2852" t="n">
        <v>0.6249</v>
      </c>
      <c r="K2852" t="n">
        <v>0</v>
      </c>
      <c r="L2852" t="n">
        <v>0.579</v>
      </c>
      <c r="M2852" t="n">
        <v>0.421</v>
      </c>
    </row>
    <row r="2853" spans="1:13">
      <c r="A2853" s="1">
        <f>HYPERLINK("http://www.twitter.com/NathanBLawrence/status/900031552423436289", "900031552423436289")</f>
        <v/>
      </c>
      <c r="B2853" s="2" t="n">
        <v>42969.68539351852</v>
      </c>
      <c r="C2853" t="n">
        <v>0</v>
      </c>
      <c r="D2853" t="n">
        <v>0</v>
      </c>
      <c r="E2853" t="s">
        <v>2862</v>
      </c>
      <c r="F2853" t="s"/>
      <c r="G2853" t="s"/>
      <c r="H2853" t="s"/>
      <c r="I2853" t="s"/>
      <c r="J2853" t="n">
        <v>0.5773</v>
      </c>
      <c r="K2853" t="n">
        <v>0</v>
      </c>
      <c r="L2853" t="n">
        <v>0.6820000000000001</v>
      </c>
      <c r="M2853" t="n">
        <v>0.318</v>
      </c>
    </row>
    <row r="2854" spans="1:13">
      <c r="A2854" s="1">
        <f>HYPERLINK("http://www.twitter.com/NathanBLawrence/status/900023301258571776", "900023301258571776")</f>
        <v/>
      </c>
      <c r="B2854" s="2" t="n">
        <v>42969.66262731481</v>
      </c>
      <c r="C2854" t="n">
        <v>0</v>
      </c>
      <c r="D2854" t="n">
        <v>0</v>
      </c>
      <c r="E2854" t="s">
        <v>2863</v>
      </c>
      <c r="F2854" t="s"/>
      <c r="G2854" t="s"/>
      <c r="H2854" t="s"/>
      <c r="I2854" t="s"/>
      <c r="J2854" t="n">
        <v>-0.296</v>
      </c>
      <c r="K2854" t="n">
        <v>0.306</v>
      </c>
      <c r="L2854" t="n">
        <v>0.694</v>
      </c>
      <c r="M2854" t="n">
        <v>0</v>
      </c>
    </row>
    <row r="2855" spans="1:13">
      <c r="A2855" s="1">
        <f>HYPERLINK("http://www.twitter.com/NathanBLawrence/status/899981223963000832", "899981223963000832")</f>
        <v/>
      </c>
      <c r="B2855" s="2" t="n">
        <v>42969.54651620371</v>
      </c>
      <c r="C2855" t="n">
        <v>0</v>
      </c>
      <c r="D2855" t="n">
        <v>2523</v>
      </c>
      <c r="E2855" t="s">
        <v>2864</v>
      </c>
      <c r="F2855" t="s"/>
      <c r="G2855" t="s"/>
      <c r="H2855" t="s"/>
      <c r="I2855" t="s"/>
      <c r="J2855" t="n">
        <v>0</v>
      </c>
      <c r="K2855" t="n">
        <v>0</v>
      </c>
      <c r="L2855" t="n">
        <v>1</v>
      </c>
      <c r="M2855" t="n">
        <v>0</v>
      </c>
    </row>
    <row r="2856" spans="1:13">
      <c r="A2856" s="1">
        <f>HYPERLINK("http://www.twitter.com/NathanBLawrence/status/899977866171080704", "899977866171080704")</f>
        <v/>
      </c>
      <c r="B2856" s="2" t="n">
        <v>42969.53724537037</v>
      </c>
      <c r="C2856" t="n">
        <v>0</v>
      </c>
      <c r="D2856" t="n">
        <v>0</v>
      </c>
      <c r="E2856" t="s">
        <v>2865</v>
      </c>
      <c r="F2856" t="s"/>
      <c r="G2856" t="s"/>
      <c r="H2856" t="s"/>
      <c r="I2856" t="s"/>
      <c r="J2856" t="n">
        <v>-0.1139</v>
      </c>
      <c r="K2856" t="n">
        <v>0.289</v>
      </c>
      <c r="L2856" t="n">
        <v>0.711</v>
      </c>
      <c r="M2856" t="n">
        <v>0</v>
      </c>
    </row>
    <row r="2857" spans="1:13">
      <c r="A2857" s="1">
        <f>HYPERLINK("http://www.twitter.com/NathanBLawrence/status/899936000029413376", "899936000029413376")</f>
        <v/>
      </c>
      <c r="B2857" s="2" t="n">
        <v>42969.42172453704</v>
      </c>
      <c r="C2857" t="n">
        <v>0</v>
      </c>
      <c r="D2857" t="n">
        <v>3154</v>
      </c>
      <c r="E2857" t="s">
        <v>2866</v>
      </c>
      <c r="F2857" t="s"/>
      <c r="G2857" t="s"/>
      <c r="H2857" t="s"/>
      <c r="I2857" t="s"/>
      <c r="J2857" t="n">
        <v>0.3612</v>
      </c>
      <c r="K2857" t="n">
        <v>0</v>
      </c>
      <c r="L2857" t="n">
        <v>0.828</v>
      </c>
      <c r="M2857" t="n">
        <v>0.172</v>
      </c>
    </row>
    <row r="2858" spans="1:13">
      <c r="A2858" s="1">
        <f>HYPERLINK("http://www.twitter.com/NathanBLawrence/status/899934790383783936", "899934790383783936")</f>
        <v/>
      </c>
      <c r="B2858" s="2" t="n">
        <v>42969.41837962963</v>
      </c>
      <c r="C2858" t="n">
        <v>0</v>
      </c>
      <c r="D2858" t="n">
        <v>0</v>
      </c>
      <c r="E2858" t="s">
        <v>2867</v>
      </c>
      <c r="F2858" t="s"/>
      <c r="G2858" t="s"/>
      <c r="H2858" t="s"/>
      <c r="I2858" t="s"/>
      <c r="J2858" t="n">
        <v>0.1027</v>
      </c>
      <c r="K2858" t="n">
        <v>0.177</v>
      </c>
      <c r="L2858" t="n">
        <v>0.615</v>
      </c>
      <c r="M2858" t="n">
        <v>0.208</v>
      </c>
    </row>
    <row r="2859" spans="1:13">
      <c r="A2859" s="1">
        <f>HYPERLINK("http://www.twitter.com/NathanBLawrence/status/899933473519132672", "899933473519132672")</f>
        <v/>
      </c>
      <c r="B2859" s="2" t="n">
        <v>42969.41474537037</v>
      </c>
      <c r="C2859" t="n">
        <v>0</v>
      </c>
      <c r="D2859" t="n">
        <v>13136</v>
      </c>
      <c r="E2859" t="s">
        <v>2868</v>
      </c>
      <c r="F2859">
        <f>HYPERLINK("https://video.twimg.com/amplify_video/899823709468241921/vid/1280x720/X_iS-gtf_LTjaT-P.mp4", "https://video.twimg.com/amplify_video/899823709468241921/vid/1280x720/X_iS-gtf_LTjaT-P.mp4")</f>
        <v/>
      </c>
      <c r="G2859" t="s"/>
      <c r="H2859" t="s"/>
      <c r="I2859" t="s"/>
      <c r="J2859" t="n">
        <v>0</v>
      </c>
      <c r="K2859" t="n">
        <v>0</v>
      </c>
      <c r="L2859" t="n">
        <v>1</v>
      </c>
      <c r="M2859" t="n">
        <v>0</v>
      </c>
    </row>
    <row r="2860" spans="1:13">
      <c r="A2860" s="1">
        <f>HYPERLINK("http://www.twitter.com/NathanBLawrence/status/899763651313254400", "899763651313254400")</f>
        <v/>
      </c>
      <c r="B2860" s="2" t="n">
        <v>42968.94612268519</v>
      </c>
      <c r="C2860" t="n">
        <v>0</v>
      </c>
      <c r="D2860" t="n">
        <v>0</v>
      </c>
      <c r="E2860" t="s">
        <v>2869</v>
      </c>
      <c r="F2860" t="s"/>
      <c r="G2860" t="s"/>
      <c r="H2860" t="s"/>
      <c r="I2860" t="s"/>
      <c r="J2860" t="n">
        <v>0.5266999999999999</v>
      </c>
      <c r="K2860" t="n">
        <v>0</v>
      </c>
      <c r="L2860" t="n">
        <v>0.825</v>
      </c>
      <c r="M2860" t="n">
        <v>0.175</v>
      </c>
    </row>
    <row r="2861" spans="1:13">
      <c r="A2861" s="1">
        <f>HYPERLINK("http://www.twitter.com/NathanBLawrence/status/899703377600360449", "899703377600360449")</f>
        <v/>
      </c>
      <c r="B2861" s="2" t="n">
        <v>42968.77980324074</v>
      </c>
      <c r="C2861" t="n">
        <v>0</v>
      </c>
      <c r="D2861" t="n">
        <v>0</v>
      </c>
      <c r="E2861" t="s">
        <v>2870</v>
      </c>
      <c r="F2861" t="s"/>
      <c r="G2861" t="s"/>
      <c r="H2861" t="s"/>
      <c r="I2861" t="s"/>
      <c r="J2861" t="n">
        <v>0.5229</v>
      </c>
      <c r="K2861" t="n">
        <v>0</v>
      </c>
      <c r="L2861" t="n">
        <v>0.64</v>
      </c>
      <c r="M2861" t="n">
        <v>0.36</v>
      </c>
    </row>
    <row r="2862" spans="1:13">
      <c r="A2862" s="1">
        <f>HYPERLINK("http://www.twitter.com/NathanBLawrence/status/899685577171324929", "899685577171324929")</f>
        <v/>
      </c>
      <c r="B2862" s="2" t="n">
        <v>42968.73068287037</v>
      </c>
      <c r="C2862" t="n">
        <v>1</v>
      </c>
      <c r="D2862" t="n">
        <v>0</v>
      </c>
      <c r="E2862" t="s">
        <v>2871</v>
      </c>
      <c r="F2862" t="s"/>
      <c r="G2862" t="s"/>
      <c r="H2862" t="s"/>
      <c r="I2862" t="s"/>
      <c r="J2862" t="n">
        <v>0.6981000000000001</v>
      </c>
      <c r="K2862" t="n">
        <v>0</v>
      </c>
      <c r="L2862" t="n">
        <v>0.511</v>
      </c>
      <c r="M2862" t="n">
        <v>0.489</v>
      </c>
    </row>
    <row r="2863" spans="1:13">
      <c r="A2863" s="1">
        <f>HYPERLINK("http://www.twitter.com/NathanBLawrence/status/899631496469913606", "899631496469913606")</f>
        <v/>
      </c>
      <c r="B2863" s="2" t="n">
        <v>42968.58144675926</v>
      </c>
      <c r="C2863" t="n">
        <v>0</v>
      </c>
      <c r="D2863" t="n">
        <v>0</v>
      </c>
      <c r="E2863" t="s">
        <v>2872</v>
      </c>
      <c r="F2863" t="s"/>
      <c r="G2863" t="s"/>
      <c r="H2863" t="s"/>
      <c r="I2863" t="s"/>
      <c r="J2863" t="n">
        <v>-0.4939</v>
      </c>
      <c r="K2863" t="n">
        <v>0.242</v>
      </c>
      <c r="L2863" t="n">
        <v>0.758</v>
      </c>
      <c r="M2863" t="n">
        <v>0</v>
      </c>
    </row>
    <row r="2864" spans="1:13">
      <c r="A2864" s="1">
        <f>HYPERLINK("http://www.twitter.com/NathanBLawrence/status/899478005193617409", "899478005193617409")</f>
        <v/>
      </c>
      <c r="B2864" s="2" t="n">
        <v>42968.15789351852</v>
      </c>
      <c r="C2864" t="n">
        <v>1</v>
      </c>
      <c r="D2864" t="n">
        <v>0</v>
      </c>
      <c r="E2864" t="s">
        <v>2873</v>
      </c>
      <c r="F2864">
        <f>HYPERLINK("http://pbs.twimg.com/media/DHuWdz-VwAAxGbV.jpg", "http://pbs.twimg.com/media/DHuWdz-VwAAxGbV.jpg")</f>
        <v/>
      </c>
      <c r="G2864" t="s"/>
      <c r="H2864" t="s"/>
      <c r="I2864" t="s"/>
      <c r="J2864" t="n">
        <v>0</v>
      </c>
      <c r="K2864" t="n">
        <v>0</v>
      </c>
      <c r="L2864" t="n">
        <v>1</v>
      </c>
      <c r="M2864" t="n">
        <v>0</v>
      </c>
    </row>
    <row r="2865" spans="1:13">
      <c r="A2865" s="1">
        <f>HYPERLINK("http://www.twitter.com/NathanBLawrence/status/899477082023002112", "899477082023002112")</f>
        <v/>
      </c>
      <c r="B2865" s="2" t="n">
        <v>42968.15534722222</v>
      </c>
      <c r="C2865" t="n">
        <v>3</v>
      </c>
      <c r="D2865" t="n">
        <v>0</v>
      </c>
      <c r="E2865" t="s">
        <v>2874</v>
      </c>
      <c r="F2865">
        <f>HYPERLINK("http://pbs.twimg.com/media/DHuVoUnU0AA53Nq.jpg", "http://pbs.twimg.com/media/DHuVoUnU0AA53Nq.jpg")</f>
        <v/>
      </c>
      <c r="G2865" t="s"/>
      <c r="H2865" t="s"/>
      <c r="I2865" t="s"/>
      <c r="J2865" t="n">
        <v>0.2263</v>
      </c>
      <c r="K2865" t="n">
        <v>0</v>
      </c>
      <c r="L2865" t="n">
        <v>0.909</v>
      </c>
      <c r="M2865" t="n">
        <v>0.091</v>
      </c>
    </row>
    <row r="2866" spans="1:13">
      <c r="A2866" s="1">
        <f>HYPERLINK("http://www.twitter.com/NathanBLawrence/status/899469613884461056", "899469613884461056")</f>
        <v/>
      </c>
      <c r="B2866" s="2" t="n">
        <v>42968.13473379629</v>
      </c>
      <c r="C2866" t="n">
        <v>0</v>
      </c>
      <c r="D2866" t="n">
        <v>9738</v>
      </c>
      <c r="E2866" t="s">
        <v>2875</v>
      </c>
      <c r="F2866" t="s"/>
      <c r="G2866" t="s"/>
      <c r="H2866" t="s"/>
      <c r="I2866" t="s"/>
      <c r="J2866" t="n">
        <v>0</v>
      </c>
      <c r="K2866" t="n">
        <v>0.129</v>
      </c>
      <c r="L2866" t="n">
        <v>0.742</v>
      </c>
      <c r="M2866" t="n">
        <v>0.129</v>
      </c>
    </row>
    <row r="2867" spans="1:13">
      <c r="A2867" s="1">
        <f>HYPERLINK("http://www.twitter.com/NathanBLawrence/status/899466432592973824", "899466432592973824")</f>
        <v/>
      </c>
      <c r="B2867" s="2" t="n">
        <v>42968.12596064815</v>
      </c>
      <c r="C2867" t="n">
        <v>0</v>
      </c>
      <c r="D2867" t="n">
        <v>0</v>
      </c>
      <c r="E2867" t="s">
        <v>2876</v>
      </c>
      <c r="F2867" t="s"/>
      <c r="G2867" t="s"/>
      <c r="H2867" t="s"/>
      <c r="I2867" t="s"/>
      <c r="J2867" t="n">
        <v>0.3612</v>
      </c>
      <c r="K2867" t="n">
        <v>0</v>
      </c>
      <c r="L2867" t="n">
        <v>0.8149999999999999</v>
      </c>
      <c r="M2867" t="n">
        <v>0.185</v>
      </c>
    </row>
    <row r="2868" spans="1:13">
      <c r="A2868" s="1">
        <f>HYPERLINK("http://www.twitter.com/NathanBLawrence/status/899466140501626880", "899466140501626880")</f>
        <v/>
      </c>
      <c r="B2868" s="2" t="n">
        <v>42968.12515046296</v>
      </c>
      <c r="C2868" t="n">
        <v>0</v>
      </c>
      <c r="D2868" t="n">
        <v>19711</v>
      </c>
      <c r="E2868" t="s">
        <v>2877</v>
      </c>
      <c r="F2868" t="s"/>
      <c r="G2868" t="s"/>
      <c r="H2868" t="s"/>
      <c r="I2868" t="s"/>
      <c r="J2868" t="n">
        <v>0.3612</v>
      </c>
      <c r="K2868" t="n">
        <v>0</v>
      </c>
      <c r="L2868" t="n">
        <v>0.762</v>
      </c>
      <c r="M2868" t="n">
        <v>0.238</v>
      </c>
    </row>
    <row r="2869" spans="1:13">
      <c r="A2869" s="1">
        <f>HYPERLINK("http://www.twitter.com/NathanBLawrence/status/899464682783862784", "899464682783862784")</f>
        <v/>
      </c>
      <c r="B2869" s="2" t="n">
        <v>42968.12113425926</v>
      </c>
      <c r="C2869" t="n">
        <v>0</v>
      </c>
      <c r="D2869" t="n">
        <v>0</v>
      </c>
      <c r="E2869" t="s">
        <v>2878</v>
      </c>
      <c r="F2869" t="s"/>
      <c r="G2869" t="s"/>
      <c r="H2869" t="s"/>
      <c r="I2869" t="s"/>
      <c r="J2869" t="n">
        <v>0</v>
      </c>
      <c r="K2869" t="n">
        <v>0</v>
      </c>
      <c r="L2869" t="n">
        <v>1</v>
      </c>
      <c r="M2869" t="n">
        <v>0</v>
      </c>
    </row>
    <row r="2870" spans="1:13">
      <c r="A2870" s="1">
        <f>HYPERLINK("http://www.twitter.com/NathanBLawrence/status/899464221137809408", "899464221137809408")</f>
        <v/>
      </c>
      <c r="B2870" s="2" t="n">
        <v>42968.11986111111</v>
      </c>
      <c r="C2870" t="n">
        <v>0</v>
      </c>
      <c r="D2870" t="n">
        <v>0</v>
      </c>
      <c r="E2870" t="s">
        <v>2879</v>
      </c>
      <c r="F2870" t="s"/>
      <c r="G2870" t="s"/>
      <c r="H2870" t="s"/>
      <c r="I2870" t="s"/>
      <c r="J2870" t="n">
        <v>-0.4767</v>
      </c>
      <c r="K2870" t="n">
        <v>0.383</v>
      </c>
      <c r="L2870" t="n">
        <v>0.617</v>
      </c>
      <c r="M2870" t="n">
        <v>0</v>
      </c>
    </row>
    <row r="2871" spans="1:13">
      <c r="A2871" s="1">
        <f>HYPERLINK("http://www.twitter.com/NathanBLawrence/status/899461787241906176", "899461787241906176")</f>
        <v/>
      </c>
      <c r="B2871" s="2" t="n">
        <v>42968.11313657407</v>
      </c>
      <c r="C2871" t="n">
        <v>0</v>
      </c>
      <c r="D2871" t="n">
        <v>0</v>
      </c>
      <c r="E2871" t="s">
        <v>2880</v>
      </c>
      <c r="F2871" t="s"/>
      <c r="G2871" t="s"/>
      <c r="H2871" t="s"/>
      <c r="I2871" t="s"/>
      <c r="J2871" t="n">
        <v>0.5106000000000001</v>
      </c>
      <c r="K2871" t="n">
        <v>0</v>
      </c>
      <c r="L2871" t="n">
        <v>0.732</v>
      </c>
      <c r="M2871" t="n">
        <v>0.268</v>
      </c>
    </row>
    <row r="2872" spans="1:13">
      <c r="A2872" s="1">
        <f>HYPERLINK("http://www.twitter.com/NathanBLawrence/status/899332538036105216", "899332538036105216")</f>
        <v/>
      </c>
      <c r="B2872" s="2" t="n">
        <v>42967.75648148148</v>
      </c>
      <c r="C2872" t="n">
        <v>1</v>
      </c>
      <c r="D2872" t="n">
        <v>0</v>
      </c>
      <c r="E2872" t="s">
        <v>2881</v>
      </c>
      <c r="F2872" t="s"/>
      <c r="G2872" t="s"/>
      <c r="H2872" t="s"/>
      <c r="I2872" t="s"/>
      <c r="J2872" t="n">
        <v>0.6777</v>
      </c>
      <c r="K2872" t="n">
        <v>0</v>
      </c>
      <c r="L2872" t="n">
        <v>0.396</v>
      </c>
      <c r="M2872" t="n">
        <v>0.604</v>
      </c>
    </row>
    <row r="2873" spans="1:13">
      <c r="A2873" s="1">
        <f>HYPERLINK("http://www.twitter.com/NathanBLawrence/status/899284665089105925", "899284665089105925")</f>
        <v/>
      </c>
      <c r="B2873" s="2" t="n">
        <v>42967.624375</v>
      </c>
      <c r="C2873" t="n">
        <v>4</v>
      </c>
      <c r="D2873" t="n">
        <v>0</v>
      </c>
      <c r="E2873" t="s">
        <v>2882</v>
      </c>
      <c r="F2873" t="s"/>
      <c r="G2873" t="s"/>
      <c r="H2873" t="s"/>
      <c r="I2873" t="s"/>
      <c r="J2873" t="n">
        <v>0.5719</v>
      </c>
      <c r="K2873" t="n">
        <v>0</v>
      </c>
      <c r="L2873" t="n">
        <v>0.85</v>
      </c>
      <c r="M2873" t="n">
        <v>0.15</v>
      </c>
    </row>
    <row r="2874" spans="1:13">
      <c r="A2874" s="1">
        <f>HYPERLINK("http://www.twitter.com/NathanBLawrence/status/899283884122284032", "899283884122284032")</f>
        <v/>
      </c>
      <c r="B2874" s="2" t="n">
        <v>42967.62222222222</v>
      </c>
      <c r="C2874" t="n">
        <v>0</v>
      </c>
      <c r="D2874" t="n">
        <v>0</v>
      </c>
      <c r="E2874" t="s">
        <v>2883</v>
      </c>
      <c r="F2874" t="s"/>
      <c r="G2874" t="s"/>
      <c r="H2874" t="s"/>
      <c r="I2874" t="s"/>
      <c r="J2874" t="n">
        <v>0</v>
      </c>
      <c r="K2874" t="n">
        <v>0</v>
      </c>
      <c r="L2874" t="n">
        <v>1</v>
      </c>
      <c r="M2874" t="n">
        <v>0</v>
      </c>
    </row>
    <row r="2875" spans="1:13">
      <c r="A2875" s="1">
        <f>HYPERLINK("http://www.twitter.com/NathanBLawrence/status/899279013851430913", "899279013851430913")</f>
        <v/>
      </c>
      <c r="B2875" s="2" t="n">
        <v>42967.60878472222</v>
      </c>
      <c r="C2875" t="n">
        <v>0</v>
      </c>
      <c r="D2875" t="n">
        <v>0</v>
      </c>
      <c r="E2875" t="s">
        <v>2884</v>
      </c>
      <c r="F2875" t="s"/>
      <c r="G2875" t="s"/>
      <c r="H2875" t="s"/>
      <c r="I2875" t="s"/>
      <c r="J2875" t="n">
        <v>-0.25</v>
      </c>
      <c r="K2875" t="n">
        <v>0.5</v>
      </c>
      <c r="L2875" t="n">
        <v>0.5</v>
      </c>
      <c r="M2875" t="n">
        <v>0</v>
      </c>
    </row>
    <row r="2876" spans="1:13">
      <c r="A2876" s="1">
        <f>HYPERLINK("http://www.twitter.com/NathanBLawrence/status/899277898481270784", "899277898481270784")</f>
        <v/>
      </c>
      <c r="B2876" s="2" t="n">
        <v>42967.60570601852</v>
      </c>
      <c r="C2876" t="n">
        <v>0</v>
      </c>
      <c r="D2876" t="n">
        <v>0</v>
      </c>
      <c r="E2876" t="s">
        <v>2885</v>
      </c>
      <c r="F2876" t="s"/>
      <c r="G2876" t="s"/>
      <c r="H2876" t="s"/>
      <c r="I2876" t="s"/>
      <c r="J2876" t="n">
        <v>0.4215</v>
      </c>
      <c r="K2876" t="n">
        <v>0</v>
      </c>
      <c r="L2876" t="n">
        <v>0.797</v>
      </c>
      <c r="M2876" t="n">
        <v>0.203</v>
      </c>
    </row>
    <row r="2877" spans="1:13">
      <c r="A2877" s="1">
        <f>HYPERLINK("http://www.twitter.com/NathanBLawrence/status/899107866975580160", "899107866975580160")</f>
        <v/>
      </c>
      <c r="B2877" s="2" t="n">
        <v>42967.13650462963</v>
      </c>
      <c r="C2877" t="n">
        <v>0</v>
      </c>
      <c r="D2877" t="n">
        <v>0</v>
      </c>
      <c r="E2877" t="s">
        <v>2886</v>
      </c>
      <c r="F2877" t="s"/>
      <c r="G2877" t="s"/>
      <c r="H2877" t="s"/>
      <c r="I2877" t="s"/>
      <c r="J2877" t="n">
        <v>0</v>
      </c>
      <c r="K2877" t="n">
        <v>0</v>
      </c>
      <c r="L2877" t="n">
        <v>1</v>
      </c>
      <c r="M2877" t="n">
        <v>0</v>
      </c>
    </row>
    <row r="2878" spans="1:13">
      <c r="A2878" s="1">
        <f>HYPERLINK("http://www.twitter.com/NathanBLawrence/status/898996399878090756", "898996399878090756")</f>
        <v/>
      </c>
      <c r="B2878" s="2" t="n">
        <v>42966.82891203704</v>
      </c>
      <c r="C2878" t="n">
        <v>1</v>
      </c>
      <c r="D2878" t="n">
        <v>0</v>
      </c>
      <c r="E2878" t="s">
        <v>2887</v>
      </c>
      <c r="F2878" t="s"/>
      <c r="G2878" t="s"/>
      <c r="H2878" t="s"/>
      <c r="I2878" t="s"/>
      <c r="J2878" t="n">
        <v>-0.6808</v>
      </c>
      <c r="K2878" t="n">
        <v>0.338</v>
      </c>
      <c r="L2878" t="n">
        <v>0.662</v>
      </c>
      <c r="M2878" t="n">
        <v>0</v>
      </c>
    </row>
    <row r="2879" spans="1:13">
      <c r="A2879" s="1">
        <f>HYPERLINK("http://www.twitter.com/NathanBLawrence/status/898995555589701632", "898995555589701632")</f>
        <v/>
      </c>
      <c r="B2879" s="2" t="n">
        <v>42966.82658564814</v>
      </c>
      <c r="C2879" t="n">
        <v>3</v>
      </c>
      <c r="D2879" t="n">
        <v>0</v>
      </c>
      <c r="E2879" t="s">
        <v>2888</v>
      </c>
      <c r="F2879" t="s"/>
      <c r="G2879" t="s"/>
      <c r="H2879" t="s"/>
      <c r="I2879" t="s"/>
      <c r="J2879" t="n">
        <v>-0.5719</v>
      </c>
      <c r="K2879" t="n">
        <v>0.316</v>
      </c>
      <c r="L2879" t="n">
        <v>0.6840000000000001</v>
      </c>
      <c r="M2879" t="n">
        <v>0</v>
      </c>
    </row>
    <row r="2880" spans="1:13">
      <c r="A2880" s="1">
        <f>HYPERLINK("http://www.twitter.com/NathanBLawrence/status/898995330901053441", "898995330901053441")</f>
        <v/>
      </c>
      <c r="B2880" s="2" t="n">
        <v>42966.82597222222</v>
      </c>
      <c r="C2880" t="n">
        <v>0</v>
      </c>
      <c r="D2880" t="n">
        <v>0</v>
      </c>
      <c r="E2880" t="s">
        <v>2889</v>
      </c>
      <c r="F2880" t="s"/>
      <c r="G2880" t="s"/>
      <c r="H2880" t="s"/>
      <c r="I2880" t="s"/>
      <c r="J2880" t="n">
        <v>-0.5994</v>
      </c>
      <c r="K2880" t="n">
        <v>0.5649999999999999</v>
      </c>
      <c r="L2880" t="n">
        <v>0.435</v>
      </c>
      <c r="M2880" t="n">
        <v>0</v>
      </c>
    </row>
    <row r="2881" spans="1:13">
      <c r="A2881" s="1">
        <f>HYPERLINK("http://www.twitter.com/NathanBLawrence/status/898991268709228544", "898991268709228544")</f>
        <v/>
      </c>
      <c r="B2881" s="2" t="n">
        <v>42966.81475694444</v>
      </c>
      <c r="C2881" t="n">
        <v>0</v>
      </c>
      <c r="D2881" t="n">
        <v>0</v>
      </c>
      <c r="E2881" t="s">
        <v>2890</v>
      </c>
      <c r="F2881" t="s"/>
      <c r="G2881" t="s"/>
      <c r="H2881" t="s"/>
      <c r="I2881" t="s"/>
      <c r="J2881" t="n">
        <v>0</v>
      </c>
      <c r="K2881" t="n">
        <v>0</v>
      </c>
      <c r="L2881" t="n">
        <v>1</v>
      </c>
      <c r="M2881" t="n">
        <v>0</v>
      </c>
    </row>
    <row r="2882" spans="1:13">
      <c r="A2882" s="1">
        <f>HYPERLINK("http://www.twitter.com/NathanBLawrence/status/898986704949964802", "898986704949964802")</f>
        <v/>
      </c>
      <c r="B2882" s="2" t="n">
        <v>42966.80216435185</v>
      </c>
      <c r="C2882" t="n">
        <v>0</v>
      </c>
      <c r="D2882" t="n">
        <v>539</v>
      </c>
      <c r="E2882" t="s">
        <v>2891</v>
      </c>
      <c r="F2882" t="s"/>
      <c r="G2882" t="s"/>
      <c r="H2882" t="s"/>
      <c r="I2882" t="s"/>
      <c r="J2882" t="n">
        <v>0.5719</v>
      </c>
      <c r="K2882" t="n">
        <v>0</v>
      </c>
      <c r="L2882" t="n">
        <v>0.856</v>
      </c>
      <c r="M2882" t="n">
        <v>0.144</v>
      </c>
    </row>
    <row r="2883" spans="1:13">
      <c r="A2883" s="1">
        <f>HYPERLINK("http://www.twitter.com/NathanBLawrence/status/898922433540968448", "898922433540968448")</f>
        <v/>
      </c>
      <c r="B2883" s="2" t="n">
        <v>42966.62480324074</v>
      </c>
      <c r="C2883" t="n">
        <v>0</v>
      </c>
      <c r="D2883" t="n">
        <v>0</v>
      </c>
      <c r="E2883" t="s">
        <v>2892</v>
      </c>
      <c r="F2883" t="s"/>
      <c r="G2883" t="s"/>
      <c r="H2883" t="s"/>
      <c r="I2883" t="s"/>
      <c r="J2883" t="n">
        <v>0</v>
      </c>
      <c r="K2883" t="n">
        <v>0</v>
      </c>
      <c r="L2883" t="n">
        <v>1</v>
      </c>
      <c r="M2883" t="n">
        <v>0</v>
      </c>
    </row>
    <row r="2884" spans="1:13">
      <c r="A2884" s="1">
        <f>HYPERLINK("http://www.twitter.com/NathanBLawrence/status/898892326415646722", "898892326415646722")</f>
        <v/>
      </c>
      <c r="B2884" s="2" t="n">
        <v>42966.54172453703</v>
      </c>
      <c r="C2884" t="n">
        <v>14</v>
      </c>
      <c r="D2884" t="n">
        <v>7</v>
      </c>
      <c r="E2884" t="s">
        <v>2893</v>
      </c>
      <c r="F2884" t="s"/>
      <c r="G2884" t="s"/>
      <c r="H2884" t="s"/>
      <c r="I2884" t="s"/>
      <c r="J2884" t="n">
        <v>-0.5423</v>
      </c>
      <c r="K2884" t="n">
        <v>0.189</v>
      </c>
      <c r="L2884" t="n">
        <v>0.737</v>
      </c>
      <c r="M2884" t="n">
        <v>0.074</v>
      </c>
    </row>
    <row r="2885" spans="1:13">
      <c r="A2885" s="1">
        <f>HYPERLINK("http://www.twitter.com/NathanBLawrence/status/898888417240530945", "898888417240530945")</f>
        <v/>
      </c>
      <c r="B2885" s="2" t="n">
        <v>42966.5309375</v>
      </c>
      <c r="C2885" t="n">
        <v>2</v>
      </c>
      <c r="D2885" t="n">
        <v>0</v>
      </c>
      <c r="E2885" t="s">
        <v>2894</v>
      </c>
      <c r="F2885">
        <f>HYPERLINK("http://pbs.twimg.com/media/DHl-PvEVwAAgDf1.jpg", "http://pbs.twimg.com/media/DHl-PvEVwAAgDf1.jpg")</f>
        <v/>
      </c>
      <c r="G2885" t="s"/>
      <c r="H2885" t="s"/>
      <c r="I2885" t="s"/>
      <c r="J2885" t="n">
        <v>-0.8117</v>
      </c>
      <c r="K2885" t="n">
        <v>0.244</v>
      </c>
      <c r="L2885" t="n">
        <v>0.709</v>
      </c>
      <c r="M2885" t="n">
        <v>0.047</v>
      </c>
    </row>
    <row r="2886" spans="1:13">
      <c r="A2886" s="1">
        <f>HYPERLINK("http://www.twitter.com/NathanBLawrence/status/898884343573037056", "898884343573037056")</f>
        <v/>
      </c>
      <c r="B2886" s="2" t="n">
        <v>42966.51969907407</v>
      </c>
      <c r="C2886" t="n">
        <v>0</v>
      </c>
      <c r="D2886" t="n">
        <v>25382</v>
      </c>
      <c r="E2886" t="s">
        <v>2895</v>
      </c>
      <c r="F2886" t="s"/>
      <c r="G2886" t="s"/>
      <c r="H2886" t="s"/>
      <c r="I2886" t="s"/>
      <c r="J2886" t="n">
        <v>0.4215</v>
      </c>
      <c r="K2886" t="n">
        <v>0</v>
      </c>
      <c r="L2886" t="n">
        <v>0.847</v>
      </c>
      <c r="M2886" t="n">
        <v>0.153</v>
      </c>
    </row>
    <row r="2887" spans="1:13">
      <c r="A2887" s="1">
        <f>HYPERLINK("http://www.twitter.com/NathanBLawrence/status/898631400076836866", "898631400076836866")</f>
        <v/>
      </c>
      <c r="B2887" s="2" t="n">
        <v>42965.82171296296</v>
      </c>
      <c r="C2887" t="n">
        <v>0</v>
      </c>
      <c r="D2887" t="n">
        <v>0</v>
      </c>
      <c r="E2887" t="s">
        <v>2896</v>
      </c>
      <c r="F2887" t="s"/>
      <c r="G2887" t="s"/>
      <c r="H2887" t="s"/>
      <c r="I2887" t="s"/>
      <c r="J2887" t="n">
        <v>0</v>
      </c>
      <c r="K2887" t="n">
        <v>0</v>
      </c>
      <c r="L2887" t="n">
        <v>1</v>
      </c>
      <c r="M2887" t="n">
        <v>0</v>
      </c>
    </row>
    <row r="2888" spans="1:13">
      <c r="A2888" s="1">
        <f>HYPERLINK("http://www.twitter.com/NathanBLawrence/status/898619419995197440", "898619419995197440")</f>
        <v/>
      </c>
      <c r="B2888" s="2" t="n">
        <v>42965.78864583333</v>
      </c>
      <c r="C2888" t="n">
        <v>0</v>
      </c>
      <c r="D2888" t="n">
        <v>8</v>
      </c>
      <c r="E2888" t="s">
        <v>2897</v>
      </c>
      <c r="F2888" t="s"/>
      <c r="G2888" t="s"/>
      <c r="H2888" t="s"/>
      <c r="I2888" t="s"/>
      <c r="J2888" t="n">
        <v>0</v>
      </c>
      <c r="K2888" t="n">
        <v>0</v>
      </c>
      <c r="L2888" t="n">
        <v>1</v>
      </c>
      <c r="M2888" t="n">
        <v>0</v>
      </c>
    </row>
    <row r="2889" spans="1:13">
      <c r="A2889" s="1">
        <f>HYPERLINK("http://www.twitter.com/NathanBLawrence/status/898605914743119873", "898605914743119873")</f>
        <v/>
      </c>
      <c r="B2889" s="2" t="n">
        <v>42965.75138888889</v>
      </c>
      <c r="C2889" t="n">
        <v>1</v>
      </c>
      <c r="D2889" t="n">
        <v>0</v>
      </c>
      <c r="E2889" t="s">
        <v>2898</v>
      </c>
      <c r="F2889" t="s"/>
      <c r="G2889" t="s"/>
      <c r="H2889" t="s"/>
      <c r="I2889" t="s"/>
      <c r="J2889" t="n">
        <v>0.6204</v>
      </c>
      <c r="K2889" t="n">
        <v>0</v>
      </c>
      <c r="L2889" t="n">
        <v>0.612</v>
      </c>
      <c r="M2889" t="n">
        <v>0.388</v>
      </c>
    </row>
    <row r="2890" spans="1:13">
      <c r="A2890" s="1">
        <f>HYPERLINK("http://www.twitter.com/NathanBLawrence/status/898604262221004801", "898604262221004801")</f>
        <v/>
      </c>
      <c r="B2890" s="2" t="n">
        <v>42965.7468287037</v>
      </c>
      <c r="C2890" t="n">
        <v>0</v>
      </c>
      <c r="D2890" t="n">
        <v>1</v>
      </c>
      <c r="E2890" t="s">
        <v>2899</v>
      </c>
      <c r="F2890" t="s"/>
      <c r="G2890" t="s"/>
      <c r="H2890" t="s"/>
      <c r="I2890" t="s"/>
      <c r="J2890" t="n">
        <v>0</v>
      </c>
      <c r="K2890" t="n">
        <v>0</v>
      </c>
      <c r="L2890" t="n">
        <v>1</v>
      </c>
      <c r="M2890" t="n">
        <v>0</v>
      </c>
    </row>
    <row r="2891" spans="1:13">
      <c r="A2891" s="1">
        <f>HYPERLINK("http://www.twitter.com/NathanBLawrence/status/898602241195515905", "898602241195515905")</f>
        <v/>
      </c>
      <c r="B2891" s="2" t="n">
        <v>42965.74125</v>
      </c>
      <c r="C2891" t="n">
        <v>6</v>
      </c>
      <c r="D2891" t="n">
        <v>2</v>
      </c>
      <c r="E2891" t="s">
        <v>2900</v>
      </c>
      <c r="F2891" t="s"/>
      <c r="G2891" t="s"/>
      <c r="H2891" t="s"/>
      <c r="I2891" t="s"/>
      <c r="J2891" t="n">
        <v>0</v>
      </c>
      <c r="K2891" t="n">
        <v>0</v>
      </c>
      <c r="L2891" t="n">
        <v>1</v>
      </c>
      <c r="M2891" t="n">
        <v>0</v>
      </c>
    </row>
    <row r="2892" spans="1:13">
      <c r="A2892" s="1">
        <f>HYPERLINK("http://www.twitter.com/NathanBLawrence/status/898597485496684545", "898597485496684545")</f>
        <v/>
      </c>
      <c r="B2892" s="2" t="n">
        <v>42965.728125</v>
      </c>
      <c r="C2892" t="n">
        <v>0</v>
      </c>
      <c r="D2892" t="n">
        <v>6420</v>
      </c>
      <c r="E2892" t="s">
        <v>2901</v>
      </c>
      <c r="F2892" t="s"/>
      <c r="G2892" t="s"/>
      <c r="H2892" t="s"/>
      <c r="I2892" t="s"/>
      <c r="J2892" t="n">
        <v>-0.7783</v>
      </c>
      <c r="K2892" t="n">
        <v>0.349</v>
      </c>
      <c r="L2892" t="n">
        <v>0.5590000000000001</v>
      </c>
      <c r="M2892" t="n">
        <v>0.092</v>
      </c>
    </row>
    <row r="2893" spans="1:13">
      <c r="A2893" s="1">
        <f>HYPERLINK("http://www.twitter.com/NathanBLawrence/status/898596364879253504", "898596364879253504")</f>
        <v/>
      </c>
      <c r="B2893" s="2" t="n">
        <v>42965.72503472222</v>
      </c>
      <c r="C2893" t="n">
        <v>0</v>
      </c>
      <c r="D2893" t="n">
        <v>0</v>
      </c>
      <c r="E2893" t="s">
        <v>2902</v>
      </c>
      <c r="F2893" t="s"/>
      <c r="G2893" t="s"/>
      <c r="H2893" t="s"/>
      <c r="I2893" t="s"/>
      <c r="J2893" t="n">
        <v>0</v>
      </c>
      <c r="K2893" t="n">
        <v>0</v>
      </c>
      <c r="L2893" t="n">
        <v>1</v>
      </c>
      <c r="M2893" t="n">
        <v>0</v>
      </c>
    </row>
    <row r="2894" spans="1:13">
      <c r="A2894" s="1">
        <f>HYPERLINK("http://www.twitter.com/NathanBLawrence/status/898581253212913665", "898581253212913665")</f>
        <v/>
      </c>
      <c r="B2894" s="2" t="n">
        <v>42965.68333333333</v>
      </c>
      <c r="C2894" t="n">
        <v>0</v>
      </c>
      <c r="D2894" t="n">
        <v>0</v>
      </c>
      <c r="E2894" t="s">
        <v>2903</v>
      </c>
      <c r="F2894" t="s"/>
      <c r="G2894" t="s"/>
      <c r="H2894" t="s"/>
      <c r="I2894" t="s"/>
      <c r="J2894" t="n">
        <v>0.5719</v>
      </c>
      <c r="K2894" t="n">
        <v>0</v>
      </c>
      <c r="L2894" t="n">
        <v>0.73</v>
      </c>
      <c r="M2894" t="n">
        <v>0.27</v>
      </c>
    </row>
    <row r="2895" spans="1:13">
      <c r="A2895" s="1">
        <f>HYPERLINK("http://www.twitter.com/NathanBLawrence/status/898565140483846146", "898565140483846146")</f>
        <v/>
      </c>
      <c r="B2895" s="2" t="n">
        <v>42965.63886574074</v>
      </c>
      <c r="C2895" t="n">
        <v>0</v>
      </c>
      <c r="D2895" t="n">
        <v>0</v>
      </c>
      <c r="E2895" t="s">
        <v>2904</v>
      </c>
      <c r="F2895" t="s"/>
      <c r="G2895" t="s"/>
      <c r="H2895" t="s"/>
      <c r="I2895" t="s"/>
      <c r="J2895" t="n">
        <v>0</v>
      </c>
      <c r="K2895" t="n">
        <v>0</v>
      </c>
      <c r="L2895" t="n">
        <v>1</v>
      </c>
      <c r="M2895" t="n">
        <v>0</v>
      </c>
    </row>
    <row r="2896" spans="1:13">
      <c r="A2896" s="1">
        <f>HYPERLINK("http://www.twitter.com/NathanBLawrence/status/898549658624172034", "898549658624172034")</f>
        <v/>
      </c>
      <c r="B2896" s="2" t="n">
        <v>42965.59614583333</v>
      </c>
      <c r="C2896" t="n">
        <v>1</v>
      </c>
      <c r="D2896" t="n">
        <v>0</v>
      </c>
      <c r="E2896" t="s">
        <v>2905</v>
      </c>
      <c r="F2896" t="s"/>
      <c r="G2896" t="s"/>
      <c r="H2896" t="s"/>
      <c r="I2896" t="s"/>
      <c r="J2896" t="n">
        <v>0</v>
      </c>
      <c r="K2896" t="n">
        <v>0</v>
      </c>
      <c r="L2896" t="n">
        <v>1</v>
      </c>
      <c r="M2896" t="n">
        <v>0</v>
      </c>
    </row>
    <row r="2897" spans="1:13">
      <c r="A2897" s="1">
        <f>HYPERLINK("http://www.twitter.com/NathanBLawrence/status/898549400246603776", "898549400246603776")</f>
        <v/>
      </c>
      <c r="B2897" s="2" t="n">
        <v>42965.59542824074</v>
      </c>
      <c r="C2897" t="n">
        <v>2</v>
      </c>
      <c r="D2897" t="n">
        <v>2</v>
      </c>
      <c r="E2897" t="s">
        <v>2906</v>
      </c>
      <c r="F2897" t="s"/>
      <c r="G2897" t="s"/>
      <c r="H2897" t="s"/>
      <c r="I2897" t="s"/>
      <c r="J2897" t="n">
        <v>0</v>
      </c>
      <c r="K2897" t="n">
        <v>0</v>
      </c>
      <c r="L2897" t="n">
        <v>1</v>
      </c>
      <c r="M2897" t="n">
        <v>0</v>
      </c>
    </row>
    <row r="2898" spans="1:13">
      <c r="A2898" s="1">
        <f>HYPERLINK("http://www.twitter.com/NathanBLawrence/status/898527733948362752", "898527733948362752")</f>
        <v/>
      </c>
      <c r="B2898" s="2" t="n">
        <v>42965.53564814815</v>
      </c>
      <c r="C2898" t="n">
        <v>1</v>
      </c>
      <c r="D2898" t="n">
        <v>1</v>
      </c>
      <c r="E2898" t="s">
        <v>2907</v>
      </c>
      <c r="F2898" t="s"/>
      <c r="G2898" t="s"/>
      <c r="H2898" t="s"/>
      <c r="I2898" t="s"/>
      <c r="J2898" t="n">
        <v>0</v>
      </c>
      <c r="K2898" t="n">
        <v>0</v>
      </c>
      <c r="L2898" t="n">
        <v>1</v>
      </c>
      <c r="M2898" t="n">
        <v>0</v>
      </c>
    </row>
    <row r="2899" spans="1:13">
      <c r="A2899" s="1">
        <f>HYPERLINK("http://www.twitter.com/NathanBLawrence/status/898381698538319873", "898381698538319873")</f>
        <v/>
      </c>
      <c r="B2899" s="2" t="n">
        <v>42965.13266203704</v>
      </c>
      <c r="C2899" t="n">
        <v>0</v>
      </c>
      <c r="D2899" t="n">
        <v>0</v>
      </c>
      <c r="E2899" t="s">
        <v>2908</v>
      </c>
      <c r="F2899" t="s"/>
      <c r="G2899" t="s"/>
      <c r="H2899" t="s"/>
      <c r="I2899" t="s"/>
      <c r="J2899" t="n">
        <v>0</v>
      </c>
      <c r="K2899" t="n">
        <v>0</v>
      </c>
      <c r="L2899" t="n">
        <v>1</v>
      </c>
      <c r="M2899" t="n">
        <v>0</v>
      </c>
    </row>
    <row r="2900" spans="1:13">
      <c r="A2900" s="1">
        <f>HYPERLINK("http://www.twitter.com/NathanBLawrence/status/898377232581885952", "898377232581885952")</f>
        <v/>
      </c>
      <c r="B2900" s="2" t="n">
        <v>42965.12033564815</v>
      </c>
      <c r="C2900" t="n">
        <v>0</v>
      </c>
      <c r="D2900" t="n">
        <v>0</v>
      </c>
      <c r="E2900" t="s">
        <v>2909</v>
      </c>
      <c r="F2900" t="s"/>
      <c r="G2900" t="s"/>
      <c r="H2900" t="s"/>
      <c r="I2900" t="s"/>
      <c r="J2900" t="n">
        <v>0</v>
      </c>
      <c r="K2900" t="n">
        <v>0</v>
      </c>
      <c r="L2900" t="n">
        <v>1</v>
      </c>
      <c r="M2900" t="n">
        <v>0</v>
      </c>
    </row>
    <row r="2901" spans="1:13">
      <c r="A2901" s="1">
        <f>HYPERLINK("http://www.twitter.com/NathanBLawrence/status/898375547914510336", "898375547914510336")</f>
        <v/>
      </c>
      <c r="B2901" s="2" t="n">
        <v>42965.11569444444</v>
      </c>
      <c r="C2901" t="n">
        <v>1</v>
      </c>
      <c r="D2901" t="n">
        <v>0</v>
      </c>
      <c r="E2901" t="s">
        <v>2910</v>
      </c>
      <c r="F2901" t="s"/>
      <c r="G2901" t="s"/>
      <c r="H2901" t="s"/>
      <c r="I2901" t="s"/>
      <c r="J2901" t="n">
        <v>0</v>
      </c>
      <c r="K2901" t="n">
        <v>0</v>
      </c>
      <c r="L2901" t="n">
        <v>1</v>
      </c>
      <c r="M2901" t="n">
        <v>0</v>
      </c>
    </row>
    <row r="2902" spans="1:13">
      <c r="A2902" s="1">
        <f>HYPERLINK("http://www.twitter.com/NathanBLawrence/status/898360488731582469", "898360488731582469")</f>
        <v/>
      </c>
      <c r="B2902" s="2" t="n">
        <v>42965.07413194444</v>
      </c>
      <c r="C2902" t="n">
        <v>0</v>
      </c>
      <c r="D2902" t="n">
        <v>0</v>
      </c>
      <c r="E2902" t="s">
        <v>2911</v>
      </c>
      <c r="F2902" t="s"/>
      <c r="G2902" t="s"/>
      <c r="H2902" t="s"/>
      <c r="I2902" t="s"/>
      <c r="J2902" t="n">
        <v>-0.4767</v>
      </c>
      <c r="K2902" t="n">
        <v>0.237</v>
      </c>
      <c r="L2902" t="n">
        <v>0.763</v>
      </c>
      <c r="M2902" t="n">
        <v>0</v>
      </c>
    </row>
    <row r="2903" spans="1:13">
      <c r="A2903" s="1">
        <f>HYPERLINK("http://www.twitter.com/NathanBLawrence/status/898352986711371777", "898352986711371777")</f>
        <v/>
      </c>
      <c r="B2903" s="2" t="n">
        <v>42965.0534375</v>
      </c>
      <c r="C2903" t="n">
        <v>0</v>
      </c>
      <c r="D2903" t="n">
        <v>0</v>
      </c>
      <c r="E2903" t="s">
        <v>2912</v>
      </c>
      <c r="F2903" t="s"/>
      <c r="G2903" t="s"/>
      <c r="H2903" t="s"/>
      <c r="I2903" t="s"/>
      <c r="J2903" t="n">
        <v>-0.4404</v>
      </c>
      <c r="K2903" t="n">
        <v>0.326</v>
      </c>
      <c r="L2903" t="n">
        <v>0.674</v>
      </c>
      <c r="M2903" t="n">
        <v>0</v>
      </c>
    </row>
    <row r="2904" spans="1:13">
      <c r="A2904" s="1">
        <f>HYPERLINK("http://www.twitter.com/NathanBLawrence/status/898309998945619969", "898309998945619969")</f>
        <v/>
      </c>
      <c r="B2904" s="2" t="n">
        <v>42964.93481481481</v>
      </c>
      <c r="C2904" t="n">
        <v>0</v>
      </c>
      <c r="D2904" t="n">
        <v>0</v>
      </c>
      <c r="E2904" t="s">
        <v>2913</v>
      </c>
      <c r="F2904" t="s"/>
      <c r="G2904" t="s"/>
      <c r="H2904" t="s"/>
      <c r="I2904" t="s"/>
      <c r="J2904" t="n">
        <v>-0.4767</v>
      </c>
      <c r="K2904" t="n">
        <v>0.193</v>
      </c>
      <c r="L2904" t="n">
        <v>0.8070000000000001</v>
      </c>
      <c r="M2904" t="n">
        <v>0</v>
      </c>
    </row>
    <row r="2905" spans="1:13">
      <c r="A2905" s="1">
        <f>HYPERLINK("http://www.twitter.com/NathanBLawrence/status/898306570936659968", "898306570936659968")</f>
        <v/>
      </c>
      <c r="B2905" s="2" t="n">
        <v>42964.92534722222</v>
      </c>
      <c r="C2905" t="n">
        <v>2</v>
      </c>
      <c r="D2905" t="n">
        <v>2</v>
      </c>
      <c r="E2905" t="s">
        <v>2914</v>
      </c>
      <c r="F2905" t="s"/>
      <c r="G2905" t="s"/>
      <c r="H2905" t="s"/>
      <c r="I2905" t="s"/>
      <c r="J2905" t="n">
        <v>0</v>
      </c>
      <c r="K2905" t="n">
        <v>0</v>
      </c>
      <c r="L2905" t="n">
        <v>1</v>
      </c>
      <c r="M2905" t="n">
        <v>0</v>
      </c>
    </row>
    <row r="2906" spans="1:13">
      <c r="A2906" s="1">
        <f>HYPERLINK("http://www.twitter.com/NathanBLawrence/status/898263268258611200", "898263268258611200")</f>
        <v/>
      </c>
      <c r="B2906" s="2" t="n">
        <v>42964.80585648148</v>
      </c>
      <c r="C2906" t="n">
        <v>0</v>
      </c>
      <c r="D2906" t="n">
        <v>0</v>
      </c>
      <c r="E2906" t="s">
        <v>2915</v>
      </c>
      <c r="F2906" t="s"/>
      <c r="G2906" t="s"/>
      <c r="H2906" t="s"/>
      <c r="I2906" t="s"/>
      <c r="J2906" t="n">
        <v>-0.9217</v>
      </c>
      <c r="K2906" t="n">
        <v>0.725</v>
      </c>
      <c r="L2906" t="n">
        <v>0.275</v>
      </c>
      <c r="M2906" t="n">
        <v>0</v>
      </c>
    </row>
    <row r="2907" spans="1:13">
      <c r="A2907" s="1">
        <f>HYPERLINK("http://www.twitter.com/NathanBLawrence/status/898231749771223040", "898231749771223040")</f>
        <v/>
      </c>
      <c r="B2907" s="2" t="n">
        <v>42964.71888888889</v>
      </c>
      <c r="C2907" t="n">
        <v>0</v>
      </c>
      <c r="D2907" t="n">
        <v>82</v>
      </c>
      <c r="E2907" t="s">
        <v>2916</v>
      </c>
      <c r="F2907">
        <f>HYPERLINK("http://pbs.twimg.com/media/DHcnntXUMAAL3C7.jpg", "http://pbs.twimg.com/media/DHcnntXUMAAL3C7.jpg")</f>
        <v/>
      </c>
      <c r="G2907" t="s"/>
      <c r="H2907" t="s"/>
      <c r="I2907" t="s"/>
      <c r="J2907" t="n">
        <v>-0.2732</v>
      </c>
      <c r="K2907" t="n">
        <v>0.198</v>
      </c>
      <c r="L2907" t="n">
        <v>0.66</v>
      </c>
      <c r="M2907" t="n">
        <v>0.142</v>
      </c>
    </row>
    <row r="2908" spans="1:13">
      <c r="A2908" s="1">
        <f>HYPERLINK("http://www.twitter.com/NathanBLawrence/status/898227895340019712", "898227895340019712")</f>
        <v/>
      </c>
      <c r="B2908" s="2" t="n">
        <v>42964.70825231481</v>
      </c>
      <c r="C2908" t="n">
        <v>0</v>
      </c>
      <c r="D2908" t="n">
        <v>11</v>
      </c>
      <c r="E2908" t="s">
        <v>2917</v>
      </c>
      <c r="F2908" t="s"/>
      <c r="G2908" t="s"/>
      <c r="H2908" t="s"/>
      <c r="I2908" t="s"/>
      <c r="J2908" t="n">
        <v>-0.2732</v>
      </c>
      <c r="K2908" t="n">
        <v>0.188</v>
      </c>
      <c r="L2908" t="n">
        <v>0.676</v>
      </c>
      <c r="M2908" t="n">
        <v>0.135</v>
      </c>
    </row>
    <row r="2909" spans="1:13">
      <c r="A2909" s="1">
        <f>HYPERLINK("http://www.twitter.com/NathanBLawrence/status/898215591391236101", "898215591391236101")</f>
        <v/>
      </c>
      <c r="B2909" s="2" t="n">
        <v>42964.67429398148</v>
      </c>
      <c r="C2909" t="n">
        <v>0</v>
      </c>
      <c r="D2909" t="n">
        <v>0</v>
      </c>
      <c r="E2909" t="s">
        <v>2918</v>
      </c>
      <c r="F2909" t="s"/>
      <c r="G2909" t="s"/>
      <c r="H2909" t="s"/>
      <c r="I2909" t="s"/>
      <c r="J2909" t="n">
        <v>-0.5719</v>
      </c>
      <c r="K2909" t="n">
        <v>0.552</v>
      </c>
      <c r="L2909" t="n">
        <v>0.448</v>
      </c>
      <c r="M2909" t="n">
        <v>0</v>
      </c>
    </row>
    <row r="2910" spans="1:13">
      <c r="A2910" s="1">
        <f>HYPERLINK("http://www.twitter.com/NathanBLawrence/status/898194508743155712", "898194508743155712")</f>
        <v/>
      </c>
      <c r="B2910" s="2" t="n">
        <v>42964.61612268518</v>
      </c>
      <c r="C2910" t="n">
        <v>0</v>
      </c>
      <c r="D2910" t="n">
        <v>23</v>
      </c>
      <c r="E2910" t="s">
        <v>2919</v>
      </c>
      <c r="F2910" t="s"/>
      <c r="G2910" t="s"/>
      <c r="H2910" t="s"/>
      <c r="I2910" t="s"/>
      <c r="J2910" t="n">
        <v>-0.3595</v>
      </c>
      <c r="K2910" t="n">
        <v>0.094</v>
      </c>
      <c r="L2910" t="n">
        <v>0.906</v>
      </c>
      <c r="M2910" t="n">
        <v>0</v>
      </c>
    </row>
    <row r="2911" spans="1:13">
      <c r="A2911" s="1">
        <f>HYPERLINK("http://www.twitter.com/NathanBLawrence/status/898191201005916160", "898191201005916160")</f>
        <v/>
      </c>
      <c r="B2911" s="2" t="n">
        <v>42964.60699074074</v>
      </c>
      <c r="C2911" t="n">
        <v>1</v>
      </c>
      <c r="D2911" t="n">
        <v>0</v>
      </c>
      <c r="E2911" t="s">
        <v>2920</v>
      </c>
      <c r="F2911" t="s"/>
      <c r="G2911" t="s"/>
      <c r="H2911" t="s"/>
      <c r="I2911" t="s"/>
      <c r="J2911" t="n">
        <v>-0.296</v>
      </c>
      <c r="K2911" t="n">
        <v>0.18</v>
      </c>
      <c r="L2911" t="n">
        <v>0.82</v>
      </c>
      <c r="M2911" t="n">
        <v>0</v>
      </c>
    </row>
    <row r="2912" spans="1:13">
      <c r="A2912" s="1">
        <f>HYPERLINK("http://www.twitter.com/NathanBLawrence/status/898176600725958656", "898176600725958656")</f>
        <v/>
      </c>
      <c r="B2912" s="2" t="n">
        <v>42964.56670138889</v>
      </c>
      <c r="C2912" t="n">
        <v>0</v>
      </c>
      <c r="D2912" t="n">
        <v>0</v>
      </c>
      <c r="E2912" t="s">
        <v>2921</v>
      </c>
      <c r="F2912" t="s"/>
      <c r="G2912" t="s"/>
      <c r="H2912" t="s"/>
      <c r="I2912" t="s"/>
      <c r="J2912" t="n">
        <v>0.8631</v>
      </c>
      <c r="K2912" t="n">
        <v>0</v>
      </c>
      <c r="L2912" t="n">
        <v>0.639</v>
      </c>
      <c r="M2912" t="n">
        <v>0.361</v>
      </c>
    </row>
    <row r="2913" spans="1:13">
      <c r="A2913" s="1">
        <f>HYPERLINK("http://www.twitter.com/NathanBLawrence/status/898157402171756544", "898157402171756544")</f>
        <v/>
      </c>
      <c r="B2913" s="2" t="n">
        <v>42964.51372685185</v>
      </c>
      <c r="C2913" t="n">
        <v>0</v>
      </c>
      <c r="D2913" t="n">
        <v>0</v>
      </c>
      <c r="E2913" t="s">
        <v>2922</v>
      </c>
      <c r="F2913" t="s"/>
      <c r="G2913" t="s"/>
      <c r="H2913" t="s"/>
      <c r="I2913" t="s"/>
      <c r="J2913" t="n">
        <v>-0.8126</v>
      </c>
      <c r="K2913" t="n">
        <v>0.27</v>
      </c>
      <c r="L2913" t="n">
        <v>0.73</v>
      </c>
      <c r="M2913" t="n">
        <v>0</v>
      </c>
    </row>
    <row r="2914" spans="1:13">
      <c r="A2914" s="1">
        <f>HYPERLINK("http://www.twitter.com/NathanBLawrence/status/898154251825840128", "898154251825840128")</f>
        <v/>
      </c>
      <c r="B2914" s="2" t="n">
        <v>42964.50503472222</v>
      </c>
      <c r="C2914" t="n">
        <v>0</v>
      </c>
      <c r="D2914" t="n">
        <v>0</v>
      </c>
      <c r="E2914" t="s">
        <v>2923</v>
      </c>
      <c r="F2914" t="s"/>
      <c r="G2914" t="s"/>
      <c r="H2914" t="s"/>
      <c r="I2914" t="s"/>
      <c r="J2914" t="n">
        <v>-0.296</v>
      </c>
      <c r="K2914" t="n">
        <v>0.18</v>
      </c>
      <c r="L2914" t="n">
        <v>0.82</v>
      </c>
      <c r="M2914" t="n">
        <v>0</v>
      </c>
    </row>
    <row r="2915" spans="1:13">
      <c r="A2915" s="1">
        <f>HYPERLINK("http://www.twitter.com/NathanBLawrence/status/898154023051829248", "898154023051829248")</f>
        <v/>
      </c>
      <c r="B2915" s="2" t="n">
        <v>42964.50439814815</v>
      </c>
      <c r="C2915" t="n">
        <v>0</v>
      </c>
      <c r="D2915" t="n">
        <v>1</v>
      </c>
      <c r="E2915" t="s">
        <v>2924</v>
      </c>
      <c r="F2915" t="s"/>
      <c r="G2915" t="s"/>
      <c r="H2915" t="s"/>
      <c r="I2915" t="s"/>
      <c r="J2915" t="n">
        <v>0</v>
      </c>
      <c r="K2915" t="n">
        <v>0</v>
      </c>
      <c r="L2915" t="n">
        <v>1</v>
      </c>
      <c r="M2915" t="n">
        <v>0</v>
      </c>
    </row>
    <row r="2916" spans="1:13">
      <c r="A2916" s="1">
        <f>HYPERLINK("http://www.twitter.com/NathanBLawrence/status/898130788516057088", "898130788516057088")</f>
        <v/>
      </c>
      <c r="B2916" s="2" t="n">
        <v>42964.44028935185</v>
      </c>
      <c r="C2916" t="n">
        <v>0</v>
      </c>
      <c r="D2916" t="n">
        <v>0</v>
      </c>
      <c r="E2916" t="s">
        <v>2925</v>
      </c>
      <c r="F2916" t="s"/>
      <c r="G2916" t="s"/>
      <c r="H2916" t="s"/>
      <c r="I2916" t="s"/>
      <c r="J2916" t="n">
        <v>0.4574</v>
      </c>
      <c r="K2916" t="n">
        <v>0</v>
      </c>
      <c r="L2916" t="n">
        <v>0.751</v>
      </c>
      <c r="M2916" t="n">
        <v>0.249</v>
      </c>
    </row>
    <row r="2917" spans="1:13">
      <c r="A2917" s="1">
        <f>HYPERLINK("http://www.twitter.com/NathanBLawrence/status/898130143499177985", "898130143499177985")</f>
        <v/>
      </c>
      <c r="B2917" s="2" t="n">
        <v>42964.43850694445</v>
      </c>
      <c r="C2917" t="n">
        <v>0</v>
      </c>
      <c r="D2917" t="n">
        <v>794</v>
      </c>
      <c r="E2917" t="s">
        <v>2926</v>
      </c>
      <c r="F2917" t="s"/>
      <c r="G2917" t="s"/>
      <c r="H2917" t="s"/>
      <c r="I2917" t="s"/>
      <c r="J2917" t="n">
        <v>0.4574</v>
      </c>
      <c r="K2917" t="n">
        <v>0</v>
      </c>
      <c r="L2917" t="n">
        <v>0.77</v>
      </c>
      <c r="M2917" t="n">
        <v>0.23</v>
      </c>
    </row>
    <row r="2918" spans="1:13">
      <c r="A2918" s="1">
        <f>HYPERLINK("http://www.twitter.com/NathanBLawrence/status/898118964873756672", "898118964873756672")</f>
        <v/>
      </c>
      <c r="B2918" s="2" t="n">
        <v>42964.40766203704</v>
      </c>
      <c r="C2918" t="n">
        <v>1</v>
      </c>
      <c r="D2918" t="n">
        <v>0</v>
      </c>
      <c r="E2918" t="s">
        <v>2927</v>
      </c>
      <c r="F2918" t="s"/>
      <c r="G2918" t="s"/>
      <c r="H2918" t="s"/>
      <c r="I2918" t="s"/>
      <c r="J2918" t="n">
        <v>-0.8225</v>
      </c>
      <c r="K2918" t="n">
        <v>0.35</v>
      </c>
      <c r="L2918" t="n">
        <v>0.65</v>
      </c>
      <c r="M2918" t="n">
        <v>0</v>
      </c>
    </row>
    <row r="2919" spans="1:13">
      <c r="A2919" s="1">
        <f>HYPERLINK("http://www.twitter.com/NathanBLawrence/status/897967384182566912", "897967384182566912")</f>
        <v/>
      </c>
      <c r="B2919" s="2" t="n">
        <v>42963.989375</v>
      </c>
      <c r="C2919" t="n">
        <v>0</v>
      </c>
      <c r="D2919" t="n">
        <v>0</v>
      </c>
      <c r="E2919" t="s">
        <v>2928</v>
      </c>
      <c r="F2919" t="s"/>
      <c r="G2919" t="s"/>
      <c r="H2919" t="s"/>
      <c r="I2919" t="s"/>
      <c r="J2919" t="n">
        <v>0</v>
      </c>
      <c r="K2919" t="n">
        <v>0</v>
      </c>
      <c r="L2919" t="n">
        <v>1</v>
      </c>
      <c r="M2919" t="n">
        <v>0</v>
      </c>
    </row>
    <row r="2920" spans="1:13">
      <c r="A2920" s="1">
        <f>HYPERLINK("http://www.twitter.com/NathanBLawrence/status/897804824552644608", "897804824552644608")</f>
        <v/>
      </c>
      <c r="B2920" s="2" t="n">
        <v>42963.54079861111</v>
      </c>
      <c r="C2920" t="n">
        <v>0</v>
      </c>
      <c r="D2920" t="n">
        <v>0</v>
      </c>
      <c r="E2920" t="s">
        <v>2929</v>
      </c>
      <c r="F2920" t="s"/>
      <c r="G2920" t="s"/>
      <c r="H2920" t="s"/>
      <c r="I2920" t="s"/>
      <c r="J2920" t="n">
        <v>0.7163</v>
      </c>
      <c r="K2920" t="n">
        <v>0</v>
      </c>
      <c r="L2920" t="n">
        <v>0.501</v>
      </c>
      <c r="M2920" t="n">
        <v>0.499</v>
      </c>
    </row>
    <row r="2921" spans="1:13">
      <c r="A2921" s="1">
        <f>HYPERLINK("http://www.twitter.com/NathanBLawrence/status/897803387898613762", "897803387898613762")</f>
        <v/>
      </c>
      <c r="B2921" s="2" t="n">
        <v>42963.53682870371</v>
      </c>
      <c r="C2921" t="n">
        <v>1</v>
      </c>
      <c r="D2921" t="n">
        <v>0</v>
      </c>
      <c r="E2921" t="s">
        <v>2930</v>
      </c>
      <c r="F2921" t="s"/>
      <c r="G2921" t="s"/>
      <c r="H2921" t="s"/>
      <c r="I2921" t="s"/>
      <c r="J2921" t="n">
        <v>-0.2755</v>
      </c>
      <c r="K2921" t="n">
        <v>0.19</v>
      </c>
      <c r="L2921" t="n">
        <v>0.8100000000000001</v>
      </c>
      <c r="M2921" t="n">
        <v>0</v>
      </c>
    </row>
    <row r="2922" spans="1:13">
      <c r="A2922" s="1">
        <f>HYPERLINK("http://www.twitter.com/NathanBLawrence/status/897802920443482112", "897802920443482112")</f>
        <v/>
      </c>
      <c r="B2922" s="2" t="n">
        <v>42963.53554398148</v>
      </c>
      <c r="C2922" t="n">
        <v>0</v>
      </c>
      <c r="D2922" t="n">
        <v>0</v>
      </c>
      <c r="E2922" t="s">
        <v>2931</v>
      </c>
      <c r="F2922" t="s"/>
      <c r="G2922" t="s"/>
      <c r="H2922" t="s"/>
      <c r="I2922" t="s"/>
      <c r="J2922" t="n">
        <v>-0.9062</v>
      </c>
      <c r="K2922" t="n">
        <v>0.472</v>
      </c>
      <c r="L2922" t="n">
        <v>0.432</v>
      </c>
      <c r="M2922" t="n">
        <v>0.096</v>
      </c>
    </row>
    <row r="2923" spans="1:13">
      <c r="A2923" s="1">
        <f>HYPERLINK("http://www.twitter.com/NathanBLawrence/status/897796478567161859", "897796478567161859")</f>
        <v/>
      </c>
      <c r="B2923" s="2" t="n">
        <v>42963.5177662037</v>
      </c>
      <c r="C2923" t="n">
        <v>0</v>
      </c>
      <c r="D2923" t="n">
        <v>0</v>
      </c>
      <c r="E2923" t="s">
        <v>2932</v>
      </c>
      <c r="F2923" t="s"/>
      <c r="G2923" t="s"/>
      <c r="H2923" t="s"/>
      <c r="I2923" t="s"/>
      <c r="J2923" t="n">
        <v>-0.4563</v>
      </c>
      <c r="K2923" t="n">
        <v>0.299</v>
      </c>
      <c r="L2923" t="n">
        <v>0.701</v>
      </c>
      <c r="M2923" t="n">
        <v>0</v>
      </c>
    </row>
    <row r="2924" spans="1:13">
      <c r="A2924" s="1">
        <f>HYPERLINK("http://www.twitter.com/NathanBLawrence/status/897766972221476864", "897766972221476864")</f>
        <v/>
      </c>
      <c r="B2924" s="2" t="n">
        <v>42963.43634259259</v>
      </c>
      <c r="C2924" t="n">
        <v>0</v>
      </c>
      <c r="D2924" t="n">
        <v>0</v>
      </c>
      <c r="E2924" t="s">
        <v>2933</v>
      </c>
      <c r="F2924" t="s"/>
      <c r="G2924" t="s"/>
      <c r="H2924" t="s"/>
      <c r="I2924" t="s"/>
      <c r="J2924" t="n">
        <v>-0.7756999999999999</v>
      </c>
      <c r="K2924" t="n">
        <v>0.376</v>
      </c>
      <c r="L2924" t="n">
        <v>0.52</v>
      </c>
      <c r="M2924" t="n">
        <v>0.104</v>
      </c>
    </row>
    <row r="2925" spans="1:13">
      <c r="A2925" s="1">
        <f>HYPERLINK("http://www.twitter.com/NathanBLawrence/status/897629176051716099", "897629176051716099")</f>
        <v/>
      </c>
      <c r="B2925" s="2" t="n">
        <v>42963.05609953704</v>
      </c>
      <c r="C2925" t="n">
        <v>0</v>
      </c>
      <c r="D2925" t="n">
        <v>10</v>
      </c>
      <c r="E2925" t="s">
        <v>2934</v>
      </c>
      <c r="F2925" t="s"/>
      <c r="G2925" t="s"/>
      <c r="H2925" t="s"/>
      <c r="I2925" t="s"/>
      <c r="J2925" t="n">
        <v>0.128</v>
      </c>
      <c r="K2925" t="n">
        <v>0.283</v>
      </c>
      <c r="L2925" t="n">
        <v>0.386</v>
      </c>
      <c r="M2925" t="n">
        <v>0.331</v>
      </c>
    </row>
    <row r="2926" spans="1:13">
      <c r="A2926" s="1">
        <f>HYPERLINK("http://www.twitter.com/NathanBLawrence/status/897628216587935744", "897628216587935744")</f>
        <v/>
      </c>
      <c r="B2926" s="2" t="n">
        <v>42963.05344907408</v>
      </c>
      <c r="C2926" t="n">
        <v>0</v>
      </c>
      <c r="D2926" t="n">
        <v>0</v>
      </c>
      <c r="E2926" t="s">
        <v>2935</v>
      </c>
      <c r="F2926" t="s"/>
      <c r="G2926" t="s"/>
      <c r="H2926" t="s"/>
      <c r="I2926" t="s"/>
      <c r="J2926" t="n">
        <v>0.8689</v>
      </c>
      <c r="K2926" t="n">
        <v>0</v>
      </c>
      <c r="L2926" t="n">
        <v>0.393</v>
      </c>
      <c r="M2926" t="n">
        <v>0.607</v>
      </c>
    </row>
    <row r="2927" spans="1:13">
      <c r="A2927" s="1">
        <f>HYPERLINK("http://www.twitter.com/NathanBLawrence/status/897613798676332545", "897613798676332545")</f>
        <v/>
      </c>
      <c r="B2927" s="2" t="n">
        <v>42963.01366898148</v>
      </c>
      <c r="C2927" t="n">
        <v>0</v>
      </c>
      <c r="D2927" t="n">
        <v>0</v>
      </c>
      <c r="E2927" t="s">
        <v>2936</v>
      </c>
      <c r="F2927" t="s"/>
      <c r="G2927" t="s"/>
      <c r="H2927" t="s"/>
      <c r="I2927" t="s"/>
      <c r="J2927" t="n">
        <v>-0.5574</v>
      </c>
      <c r="K2927" t="n">
        <v>0.175</v>
      </c>
      <c r="L2927" t="n">
        <v>0.825</v>
      </c>
      <c r="M2927" t="n">
        <v>0</v>
      </c>
    </row>
    <row r="2928" spans="1:13">
      <c r="A2928" s="1">
        <f>HYPERLINK("http://www.twitter.com/NathanBLawrence/status/897609917556813824", "897609917556813824")</f>
        <v/>
      </c>
      <c r="B2928" s="2" t="n">
        <v>42963.00295138889</v>
      </c>
      <c r="C2928" t="n">
        <v>2</v>
      </c>
      <c r="D2928" t="n">
        <v>0</v>
      </c>
      <c r="E2928" t="s">
        <v>2937</v>
      </c>
      <c r="F2928" t="s"/>
      <c r="G2928" t="s"/>
      <c r="H2928" t="s"/>
      <c r="I2928" t="s"/>
      <c r="J2928" t="n">
        <v>-0.1531</v>
      </c>
      <c r="K2928" t="n">
        <v>0.138</v>
      </c>
      <c r="L2928" t="n">
        <v>0.862</v>
      </c>
      <c r="M2928" t="n">
        <v>0</v>
      </c>
    </row>
    <row r="2929" spans="1:13">
      <c r="A2929" s="1">
        <f>HYPERLINK("http://www.twitter.com/NathanBLawrence/status/897592410263490561", "897592410263490561")</f>
        <v/>
      </c>
      <c r="B2929" s="2" t="n">
        <v>42962.9546412037</v>
      </c>
      <c r="C2929" t="n">
        <v>0</v>
      </c>
      <c r="D2929" t="n">
        <v>0</v>
      </c>
      <c r="E2929" t="s">
        <v>2938</v>
      </c>
      <c r="F2929" t="s"/>
      <c r="G2929" t="s"/>
      <c r="H2929" t="s"/>
      <c r="I2929" t="s"/>
      <c r="J2929" t="n">
        <v>-0.5037</v>
      </c>
      <c r="K2929" t="n">
        <v>0.299</v>
      </c>
      <c r="L2929" t="n">
        <v>0.701</v>
      </c>
      <c r="M2929" t="n">
        <v>0</v>
      </c>
    </row>
    <row r="2930" spans="1:13">
      <c r="A2930" s="1">
        <f>HYPERLINK("http://www.twitter.com/NathanBLawrence/status/897590771209179142", "897590771209179142")</f>
        <v/>
      </c>
      <c r="B2930" s="2" t="n">
        <v>42962.95011574074</v>
      </c>
      <c r="C2930" t="n">
        <v>0</v>
      </c>
      <c r="D2930" t="n">
        <v>10264</v>
      </c>
      <c r="E2930" t="s">
        <v>2939</v>
      </c>
      <c r="F2930" t="s"/>
      <c r="G2930" t="s"/>
      <c r="H2930" t="s"/>
      <c r="I2930" t="s"/>
      <c r="J2930" t="n">
        <v>-0.3818</v>
      </c>
      <c r="K2930" t="n">
        <v>0.227</v>
      </c>
      <c r="L2930" t="n">
        <v>0.603</v>
      </c>
      <c r="M2930" t="n">
        <v>0.17</v>
      </c>
    </row>
    <row r="2931" spans="1:13">
      <c r="A2931" s="1">
        <f>HYPERLINK("http://www.twitter.com/NathanBLawrence/status/897590270354706433", "897590270354706433")</f>
        <v/>
      </c>
      <c r="B2931" s="2" t="n">
        <v>42962.94873842593</v>
      </c>
      <c r="C2931" t="n">
        <v>0</v>
      </c>
      <c r="D2931" t="n">
        <v>0</v>
      </c>
      <c r="E2931" t="s">
        <v>2940</v>
      </c>
      <c r="F2931" t="s"/>
      <c r="G2931" t="s"/>
      <c r="H2931" t="s"/>
      <c r="I2931" t="s"/>
      <c r="J2931" t="n">
        <v>0.2023</v>
      </c>
      <c r="K2931" t="n">
        <v>0</v>
      </c>
      <c r="L2931" t="n">
        <v>0.833</v>
      </c>
      <c r="M2931" t="n">
        <v>0.167</v>
      </c>
    </row>
    <row r="2932" spans="1:13">
      <c r="A2932" s="1">
        <f>HYPERLINK("http://www.twitter.com/NathanBLawrence/status/897576461997158400", "897576461997158400")</f>
        <v/>
      </c>
      <c r="B2932" s="2" t="n">
        <v>42962.91063657407</v>
      </c>
      <c r="C2932" t="n">
        <v>0</v>
      </c>
      <c r="D2932" t="n">
        <v>0</v>
      </c>
      <c r="E2932" t="s">
        <v>2941</v>
      </c>
      <c r="F2932" t="s"/>
      <c r="G2932" t="s"/>
      <c r="H2932" t="s"/>
      <c r="I2932" t="s"/>
      <c r="J2932" t="n">
        <v>-0.4767</v>
      </c>
      <c r="K2932" t="n">
        <v>0.22</v>
      </c>
      <c r="L2932" t="n">
        <v>0.78</v>
      </c>
      <c r="M2932" t="n">
        <v>0</v>
      </c>
    </row>
    <row r="2933" spans="1:13">
      <c r="A2933" s="1">
        <f>HYPERLINK("http://www.twitter.com/NathanBLawrence/status/897575784113737729", "897575784113737729")</f>
        <v/>
      </c>
      <c r="B2933" s="2" t="n">
        <v>42962.90876157407</v>
      </c>
      <c r="C2933" t="n">
        <v>0</v>
      </c>
      <c r="D2933" t="n">
        <v>0</v>
      </c>
      <c r="E2933" t="s">
        <v>2942</v>
      </c>
      <c r="F2933" t="s"/>
      <c r="G2933" t="s"/>
      <c r="H2933" t="s"/>
      <c r="I2933" t="s"/>
      <c r="J2933" t="n">
        <v>0.636</v>
      </c>
      <c r="K2933" t="n">
        <v>0</v>
      </c>
      <c r="L2933" t="n">
        <v>0.435</v>
      </c>
      <c r="M2933" t="n">
        <v>0.5649999999999999</v>
      </c>
    </row>
    <row r="2934" spans="1:13">
      <c r="A2934" s="1">
        <f>HYPERLINK("http://www.twitter.com/NathanBLawrence/status/897566664962830336", "897566664962830336")</f>
        <v/>
      </c>
      <c r="B2934" s="2" t="n">
        <v>42962.88359953704</v>
      </c>
      <c r="C2934" t="n">
        <v>0</v>
      </c>
      <c r="D2934" t="n">
        <v>1</v>
      </c>
      <c r="E2934" t="s">
        <v>2943</v>
      </c>
      <c r="F2934" t="s"/>
      <c r="G2934" t="s"/>
      <c r="H2934" t="s"/>
      <c r="I2934" t="s"/>
      <c r="J2934" t="n">
        <v>0.6124000000000001</v>
      </c>
      <c r="K2934" t="n">
        <v>0.096</v>
      </c>
      <c r="L2934" t="n">
        <v>0.662</v>
      </c>
      <c r="M2934" t="n">
        <v>0.243</v>
      </c>
    </row>
    <row r="2935" spans="1:13">
      <c r="A2935" s="1">
        <f>HYPERLINK("http://www.twitter.com/NathanBLawrence/status/897564769326182402", "897564769326182402")</f>
        <v/>
      </c>
      <c r="B2935" s="2" t="n">
        <v>42962.87836805556</v>
      </c>
      <c r="C2935" t="n">
        <v>0</v>
      </c>
      <c r="D2935" t="n">
        <v>0</v>
      </c>
      <c r="E2935" t="s">
        <v>2944</v>
      </c>
      <c r="F2935" t="s"/>
      <c r="G2935" t="s"/>
      <c r="H2935" t="s"/>
      <c r="I2935" t="s"/>
      <c r="J2935" t="n">
        <v>0</v>
      </c>
      <c r="K2935" t="n">
        <v>0</v>
      </c>
      <c r="L2935" t="n">
        <v>1</v>
      </c>
      <c r="M2935" t="n">
        <v>0</v>
      </c>
    </row>
    <row r="2936" spans="1:13">
      <c r="A2936" s="1">
        <f>HYPERLINK("http://www.twitter.com/NathanBLawrence/status/897563307300835329", "897563307300835329")</f>
        <v/>
      </c>
      <c r="B2936" s="2" t="n">
        <v>42962.87434027778</v>
      </c>
      <c r="C2936" t="n">
        <v>1</v>
      </c>
      <c r="D2936" t="n">
        <v>0</v>
      </c>
      <c r="E2936" t="s">
        <v>2945</v>
      </c>
      <c r="F2936" t="s"/>
      <c r="G2936" t="s"/>
      <c r="H2936" t="s"/>
      <c r="I2936" t="s"/>
      <c r="J2936" t="n">
        <v>0</v>
      </c>
      <c r="K2936" t="n">
        <v>0</v>
      </c>
      <c r="L2936" t="n">
        <v>1</v>
      </c>
      <c r="M2936" t="n">
        <v>0</v>
      </c>
    </row>
    <row r="2937" spans="1:13">
      <c r="A2937" s="1">
        <f>HYPERLINK("http://www.twitter.com/NathanBLawrence/status/897562999581532163", "897562999581532163")</f>
        <v/>
      </c>
      <c r="B2937" s="2" t="n">
        <v>42962.8734837963</v>
      </c>
      <c r="C2937" t="n">
        <v>0</v>
      </c>
      <c r="D2937" t="n">
        <v>0</v>
      </c>
      <c r="E2937" t="s">
        <v>2946</v>
      </c>
      <c r="F2937" t="s"/>
      <c r="G2937" t="s"/>
      <c r="H2937" t="s"/>
      <c r="I2937" t="s"/>
      <c r="J2937" t="n">
        <v>0</v>
      </c>
      <c r="K2937" t="n">
        <v>0</v>
      </c>
      <c r="L2937" t="n">
        <v>1</v>
      </c>
      <c r="M2937" t="n">
        <v>0</v>
      </c>
    </row>
    <row r="2938" spans="1:13">
      <c r="A2938" s="1">
        <f>HYPERLINK("http://www.twitter.com/NathanBLawrence/status/897562771868352512", "897562771868352512")</f>
        <v/>
      </c>
      <c r="B2938" s="2" t="n">
        <v>42962.8728587963</v>
      </c>
      <c r="C2938" t="n">
        <v>0</v>
      </c>
      <c r="D2938" t="n">
        <v>0</v>
      </c>
      <c r="E2938" t="s">
        <v>2947</v>
      </c>
      <c r="F2938" t="s"/>
      <c r="G2938" t="s"/>
      <c r="H2938" t="s"/>
      <c r="I2938" t="s"/>
      <c r="J2938" t="n">
        <v>0</v>
      </c>
      <c r="K2938" t="n">
        <v>0</v>
      </c>
      <c r="L2938" t="n">
        <v>1</v>
      </c>
      <c r="M2938" t="n">
        <v>0</v>
      </c>
    </row>
    <row r="2939" spans="1:13">
      <c r="A2939" s="1">
        <f>HYPERLINK("http://www.twitter.com/NathanBLawrence/status/897561892402724864", "897561892402724864")</f>
        <v/>
      </c>
      <c r="B2939" s="2" t="n">
        <v>42962.87042824074</v>
      </c>
      <c r="C2939" t="n">
        <v>0</v>
      </c>
      <c r="D2939" t="n">
        <v>0</v>
      </c>
      <c r="E2939" t="s">
        <v>2948</v>
      </c>
      <c r="F2939" t="s"/>
      <c r="G2939" t="s"/>
      <c r="H2939" t="s"/>
      <c r="I2939" t="s"/>
      <c r="J2939" t="n">
        <v>-0.1779</v>
      </c>
      <c r="K2939" t="n">
        <v>0.171</v>
      </c>
      <c r="L2939" t="n">
        <v>0.695</v>
      </c>
      <c r="M2939" t="n">
        <v>0.134</v>
      </c>
    </row>
    <row r="2940" spans="1:13">
      <c r="A2940" s="1">
        <f>HYPERLINK("http://www.twitter.com/NathanBLawrence/status/897561532774612992", "897561532774612992")</f>
        <v/>
      </c>
      <c r="B2940" s="2" t="n">
        <v>42962.86943287037</v>
      </c>
      <c r="C2940" t="n">
        <v>0</v>
      </c>
      <c r="D2940" t="n">
        <v>0</v>
      </c>
      <c r="E2940" t="s">
        <v>2949</v>
      </c>
      <c r="F2940" t="s"/>
      <c r="G2940" t="s"/>
      <c r="H2940" t="s"/>
      <c r="I2940" t="s"/>
      <c r="J2940" t="n">
        <v>0</v>
      </c>
      <c r="K2940" t="n">
        <v>0</v>
      </c>
      <c r="L2940" t="n">
        <v>1</v>
      </c>
      <c r="M2940" t="n">
        <v>0</v>
      </c>
    </row>
    <row r="2941" spans="1:13">
      <c r="A2941" s="1">
        <f>HYPERLINK("http://www.twitter.com/NathanBLawrence/status/897561292529127425", "897561292529127425")</f>
        <v/>
      </c>
      <c r="B2941" s="2" t="n">
        <v>42962.86877314815</v>
      </c>
      <c r="C2941" t="n">
        <v>1</v>
      </c>
      <c r="D2941" t="n">
        <v>0</v>
      </c>
      <c r="E2941" t="s">
        <v>2950</v>
      </c>
      <c r="F2941" t="s"/>
      <c r="G2941" t="s"/>
      <c r="H2941" t="s"/>
      <c r="I2941" t="s"/>
      <c r="J2941" t="n">
        <v>0</v>
      </c>
      <c r="K2941" t="n">
        <v>0</v>
      </c>
      <c r="L2941" t="n">
        <v>1</v>
      </c>
      <c r="M2941" t="n">
        <v>0</v>
      </c>
    </row>
    <row r="2942" spans="1:13">
      <c r="A2942" s="1">
        <f>HYPERLINK("http://www.twitter.com/NathanBLawrence/status/897534262144008192", "897534262144008192")</f>
        <v/>
      </c>
      <c r="B2942" s="2" t="n">
        <v>42962.79418981481</v>
      </c>
      <c r="C2942" t="n">
        <v>0</v>
      </c>
      <c r="D2942" t="n">
        <v>0</v>
      </c>
      <c r="E2942" t="s">
        <v>2951</v>
      </c>
      <c r="F2942" t="s"/>
      <c r="G2942" t="s"/>
      <c r="H2942" t="s"/>
      <c r="I2942" t="s"/>
      <c r="J2942" t="n">
        <v>0</v>
      </c>
      <c r="K2942" t="n">
        <v>0</v>
      </c>
      <c r="L2942" t="n">
        <v>1</v>
      </c>
      <c r="M2942" t="n">
        <v>0</v>
      </c>
    </row>
    <row r="2943" spans="1:13">
      <c r="A2943" s="1">
        <f>HYPERLINK("http://www.twitter.com/NathanBLawrence/status/897528264821964801", "897528264821964801")</f>
        <v/>
      </c>
      <c r="B2943" s="2" t="n">
        <v>42962.77763888889</v>
      </c>
      <c r="C2943" t="n">
        <v>0</v>
      </c>
      <c r="D2943" t="n">
        <v>0</v>
      </c>
      <c r="E2943" t="s">
        <v>2952</v>
      </c>
      <c r="F2943" t="s"/>
      <c r="G2943" t="s"/>
      <c r="H2943" t="s"/>
      <c r="I2943" t="s"/>
      <c r="J2943" t="n">
        <v>0</v>
      </c>
      <c r="K2943" t="n">
        <v>0</v>
      </c>
      <c r="L2943" t="n">
        <v>1</v>
      </c>
      <c r="M2943" t="n">
        <v>0</v>
      </c>
    </row>
    <row r="2944" spans="1:13">
      <c r="A2944" s="1">
        <f>HYPERLINK("http://www.twitter.com/NathanBLawrence/status/897527590218604544", "897527590218604544")</f>
        <v/>
      </c>
      <c r="B2944" s="2" t="n">
        <v>42962.77577546296</v>
      </c>
      <c r="C2944" t="n">
        <v>0</v>
      </c>
      <c r="D2944" t="n">
        <v>0</v>
      </c>
      <c r="E2944" t="s">
        <v>2953</v>
      </c>
      <c r="F2944" t="s"/>
      <c r="G2944" t="s"/>
      <c r="H2944" t="s"/>
      <c r="I2944" t="s"/>
      <c r="J2944" t="n">
        <v>0.2023</v>
      </c>
      <c r="K2944" t="n">
        <v>0.157</v>
      </c>
      <c r="L2944" t="n">
        <v>0.648</v>
      </c>
      <c r="M2944" t="n">
        <v>0.194</v>
      </c>
    </row>
    <row r="2945" spans="1:13">
      <c r="A2945" s="1">
        <f>HYPERLINK("http://www.twitter.com/NathanBLawrence/status/897478895179632641", "897478895179632641")</f>
        <v/>
      </c>
      <c r="B2945" s="2" t="n">
        <v>42962.64140046296</v>
      </c>
      <c r="C2945" t="n">
        <v>0</v>
      </c>
      <c r="D2945" t="n">
        <v>345</v>
      </c>
      <c r="E2945" t="s">
        <v>2954</v>
      </c>
      <c r="F2945" t="s"/>
      <c r="G2945" t="s"/>
      <c r="H2945" t="s"/>
      <c r="I2945" t="s"/>
      <c r="J2945" t="n">
        <v>0.4574</v>
      </c>
      <c r="K2945" t="n">
        <v>0</v>
      </c>
      <c r="L2945" t="n">
        <v>0.77</v>
      </c>
      <c r="M2945" t="n">
        <v>0.23</v>
      </c>
    </row>
    <row r="2946" spans="1:13">
      <c r="A2946" s="1">
        <f>HYPERLINK("http://www.twitter.com/NathanBLawrence/status/897316537123602432", "897316537123602432")</f>
        <v/>
      </c>
      <c r="B2946" s="2" t="n">
        <v>42962.19337962963</v>
      </c>
      <c r="C2946" t="n">
        <v>0</v>
      </c>
      <c r="D2946" t="n">
        <v>0</v>
      </c>
      <c r="E2946" t="s">
        <v>2955</v>
      </c>
      <c r="F2946" t="s"/>
      <c r="G2946" t="s"/>
      <c r="H2946" t="s"/>
      <c r="I2946" t="s"/>
      <c r="J2946" t="n">
        <v>0.3182</v>
      </c>
      <c r="K2946" t="n">
        <v>0</v>
      </c>
      <c r="L2946" t="n">
        <v>0.777</v>
      </c>
      <c r="M2946" t="n">
        <v>0.223</v>
      </c>
    </row>
    <row r="2947" spans="1:13">
      <c r="A2947" s="1">
        <f>HYPERLINK("http://www.twitter.com/NathanBLawrence/status/897316349772517376", "897316349772517376")</f>
        <v/>
      </c>
      <c r="B2947" s="2" t="n">
        <v>42962.1928587963</v>
      </c>
      <c r="C2947" t="n">
        <v>1</v>
      </c>
      <c r="D2947" t="n">
        <v>0</v>
      </c>
      <c r="E2947" t="s">
        <v>2956</v>
      </c>
      <c r="F2947" t="s"/>
      <c r="G2947" t="s"/>
      <c r="H2947" t="s"/>
      <c r="I2947" t="s"/>
      <c r="J2947" t="n">
        <v>0</v>
      </c>
      <c r="K2947" t="n">
        <v>0</v>
      </c>
      <c r="L2947" t="n">
        <v>1</v>
      </c>
      <c r="M2947" t="n">
        <v>0</v>
      </c>
    </row>
    <row r="2948" spans="1:13">
      <c r="A2948" s="1">
        <f>HYPERLINK("http://www.twitter.com/NathanBLawrence/status/897313718098382848", "897313718098382848")</f>
        <v/>
      </c>
      <c r="B2948" s="2" t="n">
        <v>42962.18560185185</v>
      </c>
      <c r="C2948" t="n">
        <v>0</v>
      </c>
      <c r="D2948" t="n">
        <v>0</v>
      </c>
      <c r="E2948" t="s">
        <v>2957</v>
      </c>
      <c r="F2948" t="s"/>
      <c r="G2948" t="s"/>
      <c r="H2948" t="s"/>
      <c r="I2948" t="s"/>
      <c r="J2948" t="n">
        <v>0.8439</v>
      </c>
      <c r="K2948" t="n">
        <v>0</v>
      </c>
      <c r="L2948" t="n">
        <v>0.548</v>
      </c>
      <c r="M2948" t="n">
        <v>0.452</v>
      </c>
    </row>
    <row r="2949" spans="1:13">
      <c r="A2949" s="1">
        <f>HYPERLINK("http://www.twitter.com/NathanBLawrence/status/897252083774226432", "897252083774226432")</f>
        <v/>
      </c>
      <c r="B2949" s="2" t="n">
        <v>42962.01552083333</v>
      </c>
      <c r="C2949" t="n">
        <v>0</v>
      </c>
      <c r="D2949" t="n">
        <v>0</v>
      </c>
      <c r="E2949" t="s">
        <v>2958</v>
      </c>
      <c r="F2949" t="s"/>
      <c r="G2949" t="s"/>
      <c r="H2949" t="s"/>
      <c r="I2949" t="s"/>
      <c r="J2949" t="n">
        <v>0</v>
      </c>
      <c r="K2949" t="n">
        <v>0</v>
      </c>
      <c r="L2949" t="n">
        <v>1</v>
      </c>
      <c r="M2949" t="n">
        <v>0</v>
      </c>
    </row>
    <row r="2950" spans="1:13">
      <c r="A2950" s="1">
        <f>HYPERLINK("http://www.twitter.com/NathanBLawrence/status/897144609708625920", "897144609708625920")</f>
        <v/>
      </c>
      <c r="B2950" s="2" t="n">
        <v>42961.71894675926</v>
      </c>
      <c r="C2950" t="n">
        <v>0</v>
      </c>
      <c r="D2950" t="n">
        <v>0</v>
      </c>
      <c r="E2950" t="s">
        <v>2959</v>
      </c>
      <c r="F2950" t="s"/>
      <c r="G2950" t="s"/>
      <c r="H2950" t="s"/>
      <c r="I2950" t="s"/>
      <c r="J2950" t="n">
        <v>-0.7845</v>
      </c>
      <c r="K2950" t="n">
        <v>0.408</v>
      </c>
      <c r="L2950" t="n">
        <v>0.592</v>
      </c>
      <c r="M2950" t="n">
        <v>0</v>
      </c>
    </row>
    <row r="2951" spans="1:13">
      <c r="A2951" s="1">
        <f>HYPERLINK("http://www.twitter.com/NathanBLawrence/status/897027931083603968", "897027931083603968")</f>
        <v/>
      </c>
      <c r="B2951" s="2" t="n">
        <v>42961.39697916667</v>
      </c>
      <c r="C2951" t="n">
        <v>0</v>
      </c>
      <c r="D2951" t="n">
        <v>0</v>
      </c>
      <c r="E2951" t="s">
        <v>2960</v>
      </c>
      <c r="F2951" t="s"/>
      <c r="G2951" t="s"/>
      <c r="H2951" t="s"/>
      <c r="I2951" t="s"/>
      <c r="J2951" t="n">
        <v>-0.7906</v>
      </c>
      <c r="K2951" t="n">
        <v>0.471</v>
      </c>
      <c r="L2951" t="n">
        <v>0.529</v>
      </c>
      <c r="M2951" t="n">
        <v>0</v>
      </c>
    </row>
    <row r="2952" spans="1:13">
      <c r="A2952" s="1">
        <f>HYPERLINK("http://www.twitter.com/NathanBLawrence/status/897026955299749888", "897026955299749888")</f>
        <v/>
      </c>
      <c r="B2952" s="2" t="n">
        <v>42961.3942824074</v>
      </c>
      <c r="C2952" t="n">
        <v>5</v>
      </c>
      <c r="D2952" t="n">
        <v>1</v>
      </c>
      <c r="E2952" t="s">
        <v>2961</v>
      </c>
      <c r="F2952" t="s"/>
      <c r="G2952" t="s"/>
      <c r="H2952" t="s"/>
      <c r="I2952" t="s"/>
      <c r="J2952" t="n">
        <v>0.765</v>
      </c>
      <c r="K2952" t="n">
        <v>0</v>
      </c>
      <c r="L2952" t="n">
        <v>0.761</v>
      </c>
      <c r="M2952" t="n">
        <v>0.239</v>
      </c>
    </row>
    <row r="2953" spans="1:13">
      <c r="A2953" s="1">
        <f>HYPERLINK("http://www.twitter.com/NathanBLawrence/status/897017466924171264", "897017466924171264")</f>
        <v/>
      </c>
      <c r="B2953" s="2" t="n">
        <v>42961.36810185185</v>
      </c>
      <c r="C2953" t="n">
        <v>0</v>
      </c>
      <c r="D2953" t="n">
        <v>0</v>
      </c>
      <c r="E2953" t="s">
        <v>2962</v>
      </c>
      <c r="F2953" t="s"/>
      <c r="G2953" t="s"/>
      <c r="H2953" t="s"/>
      <c r="I2953" t="s"/>
      <c r="J2953" t="n">
        <v>-0.7906</v>
      </c>
      <c r="K2953" t="n">
        <v>0.368</v>
      </c>
      <c r="L2953" t="n">
        <v>0.632</v>
      </c>
      <c r="M2953" t="n">
        <v>0</v>
      </c>
    </row>
    <row r="2954" spans="1:13">
      <c r="A2954" s="1">
        <f>HYPERLINK("http://www.twitter.com/NathanBLawrence/status/897006175060885505", "897006175060885505")</f>
        <v/>
      </c>
      <c r="B2954" s="2" t="n">
        <v>42961.33694444445</v>
      </c>
      <c r="C2954" t="n">
        <v>0</v>
      </c>
      <c r="D2954" t="n">
        <v>0</v>
      </c>
      <c r="E2954" t="s">
        <v>2963</v>
      </c>
      <c r="F2954" t="s"/>
      <c r="G2954" t="s"/>
      <c r="H2954" t="s"/>
      <c r="I2954" t="s"/>
      <c r="J2954" t="n">
        <v>0</v>
      </c>
      <c r="K2954" t="n">
        <v>0</v>
      </c>
      <c r="L2954" t="n">
        <v>1</v>
      </c>
      <c r="M2954" t="n">
        <v>0</v>
      </c>
    </row>
    <row r="2955" spans="1:13">
      <c r="A2955" s="1">
        <f>HYPERLINK("http://www.twitter.com/NathanBLawrence/status/896922991958806529", "896922991958806529")</f>
        <v/>
      </c>
      <c r="B2955" s="2" t="n">
        <v>42961.10739583334</v>
      </c>
      <c r="C2955" t="n">
        <v>0</v>
      </c>
      <c r="D2955" t="n">
        <v>0</v>
      </c>
      <c r="E2955" t="s">
        <v>2964</v>
      </c>
      <c r="F2955" t="s"/>
      <c r="G2955" t="s"/>
      <c r="H2955" t="s"/>
      <c r="I2955" t="s"/>
      <c r="J2955" t="n">
        <v>0</v>
      </c>
      <c r="K2955" t="n">
        <v>0</v>
      </c>
      <c r="L2955" t="n">
        <v>1</v>
      </c>
      <c r="M2955" t="n">
        <v>0</v>
      </c>
    </row>
    <row r="2956" spans="1:13">
      <c r="A2956" s="1">
        <f>HYPERLINK("http://www.twitter.com/NathanBLawrence/status/896922345285197824", "896922345285197824")</f>
        <v/>
      </c>
      <c r="B2956" s="2" t="n">
        <v>42961.10561342593</v>
      </c>
      <c r="C2956" t="n">
        <v>0</v>
      </c>
      <c r="D2956" t="n">
        <v>0</v>
      </c>
      <c r="E2956" t="s">
        <v>2965</v>
      </c>
      <c r="F2956" t="s"/>
      <c r="G2956" t="s"/>
      <c r="H2956" t="s"/>
      <c r="I2956" t="s"/>
      <c r="J2956" t="n">
        <v>-0.5994</v>
      </c>
      <c r="K2956" t="n">
        <v>0.308</v>
      </c>
      <c r="L2956" t="n">
        <v>0.6919999999999999</v>
      </c>
      <c r="M2956" t="n">
        <v>0</v>
      </c>
    </row>
    <row r="2957" spans="1:13">
      <c r="A2957" s="1">
        <f>HYPERLINK("http://www.twitter.com/NathanBLawrence/status/896904334574833664", "896904334574833664")</f>
        <v/>
      </c>
      <c r="B2957" s="2" t="n">
        <v>42961.05591435185</v>
      </c>
      <c r="C2957" t="n">
        <v>0</v>
      </c>
      <c r="D2957" t="n">
        <v>0</v>
      </c>
      <c r="E2957" t="s">
        <v>2966</v>
      </c>
      <c r="F2957" t="s"/>
      <c r="G2957" t="s"/>
      <c r="H2957" t="s"/>
      <c r="I2957" t="s"/>
      <c r="J2957" t="n">
        <v>0</v>
      </c>
      <c r="K2957" t="n">
        <v>0</v>
      </c>
      <c r="L2957" t="n">
        <v>1</v>
      </c>
      <c r="M2957" t="n">
        <v>0</v>
      </c>
    </row>
    <row r="2958" spans="1:13">
      <c r="A2958" s="1">
        <f>HYPERLINK("http://www.twitter.com/NathanBLawrence/status/896897018676649984", "896897018676649984")</f>
        <v/>
      </c>
      <c r="B2958" s="2" t="n">
        <v>42961.03572916667</v>
      </c>
      <c r="C2958" t="n">
        <v>0</v>
      </c>
      <c r="D2958" t="n">
        <v>3131</v>
      </c>
      <c r="E2958" t="s">
        <v>2967</v>
      </c>
      <c r="F2958">
        <f>HYPERLINK("http://pbs.twimg.com/media/DG7WOEPVwAYEO6K.jpg", "http://pbs.twimg.com/media/DG7WOEPVwAYEO6K.jpg")</f>
        <v/>
      </c>
      <c r="G2958" t="s"/>
      <c r="H2958" t="s"/>
      <c r="I2958" t="s"/>
      <c r="J2958" t="n">
        <v>0.5023</v>
      </c>
      <c r="K2958" t="n">
        <v>0.06900000000000001</v>
      </c>
      <c r="L2958" t="n">
        <v>0.766</v>
      </c>
      <c r="M2958" t="n">
        <v>0.165</v>
      </c>
    </row>
    <row r="2959" spans="1:13">
      <c r="A2959" s="1">
        <f>HYPERLINK("http://www.twitter.com/NathanBLawrence/status/896767193488252928", "896767193488252928")</f>
        <v/>
      </c>
      <c r="B2959" s="2" t="n">
        <v>42960.67747685185</v>
      </c>
      <c r="C2959" t="n">
        <v>5</v>
      </c>
      <c r="D2959" t="n">
        <v>1</v>
      </c>
      <c r="E2959" t="s">
        <v>2968</v>
      </c>
      <c r="F2959" t="s"/>
      <c r="G2959" t="s"/>
      <c r="H2959" t="s"/>
      <c r="I2959" t="s"/>
      <c r="J2959" t="n">
        <v>-0.6848</v>
      </c>
      <c r="K2959" t="n">
        <v>0.29</v>
      </c>
      <c r="L2959" t="n">
        <v>0.577</v>
      </c>
      <c r="M2959" t="n">
        <v>0.132</v>
      </c>
    </row>
    <row r="2960" spans="1:13">
      <c r="A2960" s="1">
        <f>HYPERLINK("http://www.twitter.com/NathanBLawrence/status/896764812046336000", "896764812046336000")</f>
        <v/>
      </c>
      <c r="B2960" s="2" t="n">
        <v>42960.67090277778</v>
      </c>
      <c r="C2960" t="n">
        <v>1</v>
      </c>
      <c r="D2960" t="n">
        <v>0</v>
      </c>
      <c r="E2960" t="s">
        <v>2969</v>
      </c>
      <c r="F2960" t="s"/>
      <c r="G2960" t="s"/>
      <c r="H2960" t="s"/>
      <c r="I2960" t="s"/>
      <c r="J2960" t="n">
        <v>0.1027</v>
      </c>
      <c r="K2960" t="n">
        <v>0.343</v>
      </c>
      <c r="L2960" t="n">
        <v>0.278</v>
      </c>
      <c r="M2960" t="n">
        <v>0.38</v>
      </c>
    </row>
    <row r="2961" spans="1:13">
      <c r="A2961" s="1">
        <f>HYPERLINK("http://www.twitter.com/NathanBLawrence/status/896689337504497664", "896689337504497664")</f>
        <v/>
      </c>
      <c r="B2961" s="2" t="n">
        <v>42960.46263888889</v>
      </c>
      <c r="C2961" t="n">
        <v>0</v>
      </c>
      <c r="D2961" t="n">
        <v>16989</v>
      </c>
      <c r="E2961" t="s">
        <v>2970</v>
      </c>
      <c r="F2961">
        <f>HYPERLINK("http://pbs.twimg.com/media/DHE5teBWAAAfAb0.jpg", "http://pbs.twimg.com/media/DHE5teBWAAAfAb0.jpg")</f>
        <v/>
      </c>
      <c r="G2961" t="s"/>
      <c r="H2961" t="s"/>
      <c r="I2961" t="s"/>
      <c r="J2961" t="n">
        <v>-0.4784</v>
      </c>
      <c r="K2961" t="n">
        <v>0.266</v>
      </c>
      <c r="L2961" t="n">
        <v>0.601</v>
      </c>
      <c r="M2961" t="n">
        <v>0.133</v>
      </c>
    </row>
    <row r="2962" spans="1:13">
      <c r="A2962" s="1">
        <f>HYPERLINK("http://www.twitter.com/NathanBLawrence/status/896571411128602625", "896571411128602625")</f>
        <v/>
      </c>
      <c r="B2962" s="2" t="n">
        <v>42960.13722222222</v>
      </c>
      <c r="C2962" t="n">
        <v>0</v>
      </c>
      <c r="D2962" t="n">
        <v>0</v>
      </c>
      <c r="E2962" t="s">
        <v>2971</v>
      </c>
      <c r="F2962" t="s"/>
      <c r="G2962" t="s"/>
      <c r="H2962" t="s"/>
      <c r="I2962" t="s"/>
      <c r="J2962" t="n">
        <v>0.0511</v>
      </c>
      <c r="K2962" t="n">
        <v>0.199</v>
      </c>
      <c r="L2962" t="n">
        <v>0.588</v>
      </c>
      <c r="M2962" t="n">
        <v>0.213</v>
      </c>
    </row>
    <row r="2963" spans="1:13">
      <c r="A2963" s="1">
        <f>HYPERLINK("http://www.twitter.com/NathanBLawrence/status/896425021572354051", "896425021572354051")</f>
        <v/>
      </c>
      <c r="B2963" s="2" t="n">
        <v>42959.73326388889</v>
      </c>
      <c r="C2963" t="n">
        <v>0</v>
      </c>
      <c r="D2963" t="n">
        <v>0</v>
      </c>
      <c r="E2963" t="s">
        <v>2972</v>
      </c>
      <c r="F2963" t="s"/>
      <c r="G2963" t="s"/>
      <c r="H2963" t="s"/>
      <c r="I2963" t="s"/>
      <c r="J2963" t="n">
        <v>-0.296</v>
      </c>
      <c r="K2963" t="n">
        <v>0.147</v>
      </c>
      <c r="L2963" t="n">
        <v>0.754</v>
      </c>
      <c r="M2963" t="n">
        <v>0.099</v>
      </c>
    </row>
    <row r="2964" spans="1:13">
      <c r="A2964" s="1">
        <f>HYPERLINK("http://www.twitter.com/NathanBLawrence/status/896424131142582273", "896424131142582273")</f>
        <v/>
      </c>
      <c r="B2964" s="2" t="n">
        <v>42959.73081018519</v>
      </c>
      <c r="C2964" t="n">
        <v>0</v>
      </c>
      <c r="D2964" t="n">
        <v>56446</v>
      </c>
      <c r="E2964" t="s">
        <v>2973</v>
      </c>
      <c r="F2964" t="s"/>
      <c r="G2964" t="s"/>
      <c r="H2964" t="s"/>
      <c r="I2964" t="s"/>
      <c r="J2964" t="n">
        <v>-0.8777</v>
      </c>
      <c r="K2964" t="n">
        <v>0.351</v>
      </c>
      <c r="L2964" t="n">
        <v>0.572</v>
      </c>
      <c r="M2964" t="n">
        <v>0.076</v>
      </c>
    </row>
    <row r="2965" spans="1:13">
      <c r="A2965" s="1">
        <f>HYPERLINK("http://www.twitter.com/NathanBLawrence/status/896417810213163008", "896417810213163008")</f>
        <v/>
      </c>
      <c r="B2965" s="2" t="n">
        <v>42959.71336805556</v>
      </c>
      <c r="C2965" t="n">
        <v>0</v>
      </c>
      <c r="D2965" t="n">
        <v>4272</v>
      </c>
      <c r="E2965" t="s">
        <v>2974</v>
      </c>
      <c r="F2965" t="s"/>
      <c r="G2965" t="s"/>
      <c r="H2965" t="s"/>
      <c r="I2965" t="s"/>
      <c r="J2965" t="n">
        <v>-0.3167</v>
      </c>
      <c r="K2965" t="n">
        <v>0.174</v>
      </c>
      <c r="L2965" t="n">
        <v>0.706</v>
      </c>
      <c r="M2965" t="n">
        <v>0.12</v>
      </c>
    </row>
    <row r="2966" spans="1:13">
      <c r="A2966" s="1">
        <f>HYPERLINK("http://www.twitter.com/NathanBLawrence/status/893680975221112832", "893680975221112832")</f>
        <v/>
      </c>
      <c r="B2966" s="2" t="n">
        <v>42952.16113425926</v>
      </c>
      <c r="C2966" t="n">
        <v>0</v>
      </c>
      <c r="D2966" t="n">
        <v>16257</v>
      </c>
      <c r="E2966" t="s">
        <v>2975</v>
      </c>
      <c r="F2966" t="s"/>
      <c r="G2966" t="s"/>
      <c r="H2966" t="s"/>
      <c r="I2966" t="s"/>
      <c r="J2966" t="n">
        <v>0.6908</v>
      </c>
      <c r="K2966" t="n">
        <v>0</v>
      </c>
      <c r="L2966" t="n">
        <v>0.612</v>
      </c>
      <c r="M2966" t="n">
        <v>0.388</v>
      </c>
    </row>
    <row r="2967" spans="1:13">
      <c r="A2967" s="1">
        <f>HYPERLINK("http://www.twitter.com/NathanBLawrence/status/891980784042557440", "891980784042557440")</f>
        <v/>
      </c>
      <c r="B2967" s="2" t="n">
        <v>42947.46950231482</v>
      </c>
      <c r="C2967" t="n">
        <v>0</v>
      </c>
      <c r="D2967" t="n">
        <v>928</v>
      </c>
      <c r="E2967" t="s">
        <v>2976</v>
      </c>
      <c r="F2967" t="s"/>
      <c r="G2967" t="s"/>
      <c r="H2967" t="s"/>
      <c r="I2967" t="s"/>
      <c r="J2967" t="n">
        <v>0.4019</v>
      </c>
      <c r="K2967" t="n">
        <v>0</v>
      </c>
      <c r="L2967" t="n">
        <v>0.8159999999999999</v>
      </c>
      <c r="M2967" t="n">
        <v>0.184</v>
      </c>
    </row>
    <row r="2968" spans="1:13">
      <c r="A2968" s="1">
        <f>HYPERLINK("http://www.twitter.com/NathanBLawrence/status/891332255959973889", "891332255959973889")</f>
        <v/>
      </c>
      <c r="B2968" s="2" t="n">
        <v>42945.67990740741</v>
      </c>
      <c r="C2968" t="n">
        <v>1</v>
      </c>
      <c r="D2968" t="n">
        <v>0</v>
      </c>
      <c r="E2968" t="s">
        <v>2977</v>
      </c>
      <c r="F2968" t="s"/>
      <c r="G2968" t="s"/>
      <c r="H2968" t="s"/>
      <c r="I2968" t="s"/>
      <c r="J2968" t="n">
        <v>0</v>
      </c>
      <c r="K2968" t="n">
        <v>0</v>
      </c>
      <c r="L2968" t="n">
        <v>1</v>
      </c>
      <c r="M2968" t="n">
        <v>0</v>
      </c>
    </row>
    <row r="2969" spans="1:13">
      <c r="A2969" s="1">
        <f>HYPERLINK("http://www.twitter.com/NathanBLawrence/status/891282216113897473", "891282216113897473")</f>
        <v/>
      </c>
      <c r="B2969" s="2" t="n">
        <v>42945.5418287037</v>
      </c>
      <c r="C2969" t="n">
        <v>0</v>
      </c>
      <c r="D2969" t="n">
        <v>1</v>
      </c>
      <c r="E2969" t="s">
        <v>2978</v>
      </c>
      <c r="F2969" t="s"/>
      <c r="G2969" t="s"/>
      <c r="H2969" t="s"/>
      <c r="I2969" t="s"/>
      <c r="J2969" t="n">
        <v>0.5962</v>
      </c>
      <c r="K2969" t="n">
        <v>0.095</v>
      </c>
      <c r="L2969" t="n">
        <v>0.644</v>
      </c>
      <c r="M2969" t="n">
        <v>0.261</v>
      </c>
    </row>
    <row r="2970" spans="1:13">
      <c r="A2970" s="1">
        <f>HYPERLINK("http://www.twitter.com/NathanBLawrence/status/891279333909831681", "891279333909831681")</f>
        <v/>
      </c>
      <c r="B2970" s="2" t="n">
        <v>42945.53387731482</v>
      </c>
      <c r="C2970" t="n">
        <v>0</v>
      </c>
      <c r="D2970" t="n">
        <v>329</v>
      </c>
      <c r="E2970" t="s">
        <v>2979</v>
      </c>
      <c r="F2970" t="s"/>
      <c r="G2970" t="s"/>
      <c r="H2970" t="s"/>
      <c r="I2970" t="s"/>
      <c r="J2970" t="n">
        <v>0.3612</v>
      </c>
      <c r="K2970" t="n">
        <v>0</v>
      </c>
      <c r="L2970" t="n">
        <v>0.898</v>
      </c>
      <c r="M2970" t="n">
        <v>0.102</v>
      </c>
    </row>
    <row r="2971" spans="1:13">
      <c r="A2971" s="1">
        <f>HYPERLINK("http://www.twitter.com/NathanBLawrence/status/891119346625515520", "891119346625515520")</f>
        <v/>
      </c>
      <c r="B2971" s="2" t="n">
        <v>42945.09239583334</v>
      </c>
      <c r="C2971" t="n">
        <v>0</v>
      </c>
      <c r="D2971" t="n">
        <v>0</v>
      </c>
      <c r="E2971" t="s">
        <v>2980</v>
      </c>
      <c r="F2971" t="s"/>
      <c r="G2971" t="s"/>
      <c r="H2971" t="s"/>
      <c r="I2971" t="s"/>
      <c r="J2971" t="n">
        <v>-0.5719</v>
      </c>
      <c r="K2971" t="n">
        <v>0.222</v>
      </c>
      <c r="L2971" t="n">
        <v>0.778</v>
      </c>
      <c r="M2971" t="n">
        <v>0</v>
      </c>
    </row>
    <row r="2972" spans="1:13">
      <c r="A2972" s="1">
        <f>HYPERLINK("http://www.twitter.com/NathanBLawrence/status/890977646032687104", "890977646032687104")</f>
        <v/>
      </c>
      <c r="B2972" s="2" t="n">
        <v>42944.70137731481</v>
      </c>
      <c r="C2972" t="n">
        <v>1</v>
      </c>
      <c r="D2972" t="n">
        <v>0</v>
      </c>
      <c r="E2972" t="s">
        <v>2981</v>
      </c>
      <c r="F2972" t="s"/>
      <c r="G2972" t="s"/>
      <c r="H2972" t="s"/>
      <c r="I2972" t="s"/>
      <c r="J2972" t="n">
        <v>0</v>
      </c>
      <c r="K2972" t="n">
        <v>0</v>
      </c>
      <c r="L2972" t="n">
        <v>1</v>
      </c>
      <c r="M2972" t="n">
        <v>0</v>
      </c>
    </row>
    <row r="2973" spans="1:13">
      <c r="A2973" s="1">
        <f>HYPERLINK("http://www.twitter.com/NathanBLawrence/status/890974732757196800", "890974732757196800")</f>
        <v/>
      </c>
      <c r="B2973" s="2" t="n">
        <v>42944.69333333334</v>
      </c>
      <c r="C2973" t="n">
        <v>0</v>
      </c>
      <c r="D2973" t="n">
        <v>0</v>
      </c>
      <c r="E2973" t="s">
        <v>2982</v>
      </c>
      <c r="F2973" t="s"/>
      <c r="G2973" t="s"/>
      <c r="H2973" t="s"/>
      <c r="I2973" t="s"/>
      <c r="J2973" t="n">
        <v>0</v>
      </c>
      <c r="K2973" t="n">
        <v>0</v>
      </c>
      <c r="L2973" t="n">
        <v>1</v>
      </c>
      <c r="M2973" t="n">
        <v>0</v>
      </c>
    </row>
    <row r="2974" spans="1:13">
      <c r="A2974" s="1">
        <f>HYPERLINK("http://www.twitter.com/NathanBLawrence/status/890959435023175681", "890959435023175681")</f>
        <v/>
      </c>
      <c r="B2974" s="2" t="n">
        <v>42944.65112268519</v>
      </c>
      <c r="C2974" t="n">
        <v>0</v>
      </c>
      <c r="D2974" t="n">
        <v>0</v>
      </c>
      <c r="E2974" t="s">
        <v>2983</v>
      </c>
      <c r="F2974" t="s"/>
      <c r="G2974" t="s"/>
      <c r="H2974" t="s"/>
      <c r="I2974" t="s"/>
      <c r="J2974" t="n">
        <v>-0.5994</v>
      </c>
      <c r="K2974" t="n">
        <v>0.438</v>
      </c>
      <c r="L2974" t="n">
        <v>0.5620000000000001</v>
      </c>
      <c r="M2974" t="n">
        <v>0</v>
      </c>
    </row>
    <row r="2975" spans="1:13">
      <c r="A2975" s="1">
        <f>HYPERLINK("http://www.twitter.com/NathanBLawrence/status/890923699767005184", "890923699767005184")</f>
        <v/>
      </c>
      <c r="B2975" s="2" t="n">
        <v>42944.55251157407</v>
      </c>
      <c r="C2975" t="n">
        <v>0</v>
      </c>
      <c r="D2975" t="n">
        <v>0</v>
      </c>
      <c r="E2975" t="s">
        <v>2984</v>
      </c>
      <c r="F2975" t="s"/>
      <c r="G2975" t="s"/>
      <c r="H2975" t="s"/>
      <c r="I2975" t="s"/>
      <c r="J2975" t="n">
        <v>-0.0772</v>
      </c>
      <c r="K2975" t="n">
        <v>1</v>
      </c>
      <c r="L2975" t="n">
        <v>0</v>
      </c>
      <c r="M2975" t="n">
        <v>0</v>
      </c>
    </row>
    <row r="2976" spans="1:13">
      <c r="A2976" s="1">
        <f>HYPERLINK("http://www.twitter.com/NathanBLawrence/status/890922676243582976", "890922676243582976")</f>
        <v/>
      </c>
      <c r="B2976" s="2" t="n">
        <v>42944.5496875</v>
      </c>
      <c r="C2976" t="n">
        <v>2</v>
      </c>
      <c r="D2976" t="n">
        <v>0</v>
      </c>
      <c r="E2976" t="s">
        <v>2985</v>
      </c>
      <c r="F2976" t="s"/>
      <c r="G2976" t="s"/>
      <c r="H2976" t="s"/>
      <c r="I2976" t="s"/>
      <c r="J2976" t="n">
        <v>0.25</v>
      </c>
      <c r="K2976" t="n">
        <v>0</v>
      </c>
      <c r="L2976" t="n">
        <v>0.913</v>
      </c>
      <c r="M2976" t="n">
        <v>0.08699999999999999</v>
      </c>
    </row>
    <row r="2977" spans="1:13">
      <c r="A2977" s="1">
        <f>HYPERLINK("http://www.twitter.com/NathanBLawrence/status/890919743032578049", "890919743032578049")</f>
        <v/>
      </c>
      <c r="B2977" s="2" t="n">
        <v>42944.54158564815</v>
      </c>
      <c r="C2977" t="n">
        <v>0</v>
      </c>
      <c r="D2977" t="n">
        <v>0</v>
      </c>
      <c r="E2977" t="s">
        <v>2986</v>
      </c>
      <c r="F2977" t="s"/>
      <c r="G2977" t="s"/>
      <c r="H2977" t="s"/>
      <c r="I2977" t="s"/>
      <c r="J2977" t="n">
        <v>0.5653</v>
      </c>
      <c r="K2977" t="n">
        <v>0.061</v>
      </c>
      <c r="L2977" t="n">
        <v>0.735</v>
      </c>
      <c r="M2977" t="n">
        <v>0.204</v>
      </c>
    </row>
    <row r="2978" spans="1:13">
      <c r="A2978" s="1">
        <f>HYPERLINK("http://www.twitter.com/NathanBLawrence/status/890788580028596225", "890788580028596225")</f>
        <v/>
      </c>
      <c r="B2978" s="2" t="n">
        <v>42944.17965277778</v>
      </c>
      <c r="C2978" t="n">
        <v>0</v>
      </c>
      <c r="D2978" t="n">
        <v>0</v>
      </c>
      <c r="E2978" t="s">
        <v>2987</v>
      </c>
      <c r="F2978" t="s"/>
      <c r="G2978" t="s"/>
      <c r="H2978" t="s"/>
      <c r="I2978" t="s"/>
      <c r="J2978" t="n">
        <v>-0.4019</v>
      </c>
      <c r="K2978" t="n">
        <v>0.31</v>
      </c>
      <c r="L2978" t="n">
        <v>0.6899999999999999</v>
      </c>
      <c r="M2978" t="n">
        <v>0</v>
      </c>
    </row>
    <row r="2979" spans="1:13">
      <c r="A2979" s="1">
        <f>HYPERLINK("http://www.twitter.com/NathanBLawrence/status/890785477044785154", "890785477044785154")</f>
        <v/>
      </c>
      <c r="B2979" s="2" t="n">
        <v>42944.17108796296</v>
      </c>
      <c r="C2979" t="n">
        <v>1</v>
      </c>
      <c r="D2979" t="n">
        <v>0</v>
      </c>
      <c r="E2979" t="s">
        <v>2988</v>
      </c>
      <c r="F2979" t="s"/>
      <c r="G2979" t="s"/>
      <c r="H2979" t="s"/>
      <c r="I2979" t="s"/>
      <c r="J2979" t="n">
        <v>0.1759</v>
      </c>
      <c r="K2979" t="n">
        <v>0.137</v>
      </c>
      <c r="L2979" t="n">
        <v>0.6840000000000001</v>
      </c>
      <c r="M2979" t="n">
        <v>0.18</v>
      </c>
    </row>
    <row r="2980" spans="1:13">
      <c r="A2980" s="1">
        <f>HYPERLINK("http://www.twitter.com/NathanBLawrence/status/890780676164923392", "890780676164923392")</f>
        <v/>
      </c>
      <c r="B2980" s="2" t="n">
        <v>42944.15783564815</v>
      </c>
      <c r="C2980" t="n">
        <v>4</v>
      </c>
      <c r="D2980" t="n">
        <v>0</v>
      </c>
      <c r="E2980" t="s">
        <v>2989</v>
      </c>
      <c r="F2980" t="s"/>
      <c r="G2980" t="s"/>
      <c r="H2980" t="s"/>
      <c r="I2980" t="s"/>
      <c r="J2980" t="n">
        <v>0</v>
      </c>
      <c r="K2980" t="n">
        <v>0</v>
      </c>
      <c r="L2980" t="n">
        <v>1</v>
      </c>
      <c r="M2980" t="n">
        <v>0</v>
      </c>
    </row>
    <row r="2981" spans="1:13">
      <c r="A2981" s="1">
        <f>HYPERLINK("http://www.twitter.com/NathanBLawrence/status/890780408777977856", "890780408777977856")</f>
        <v/>
      </c>
      <c r="B2981" s="2" t="n">
        <v>42944.15710648148</v>
      </c>
      <c r="C2981" t="n">
        <v>0</v>
      </c>
      <c r="D2981" t="n">
        <v>32</v>
      </c>
      <c r="E2981" t="s">
        <v>2990</v>
      </c>
      <c r="F2981" t="s"/>
      <c r="G2981" t="s"/>
      <c r="H2981" t="s"/>
      <c r="I2981" t="s"/>
      <c r="J2981" t="n">
        <v>-0.5766</v>
      </c>
      <c r="K2981" t="n">
        <v>0.211</v>
      </c>
      <c r="L2981" t="n">
        <v>0.789</v>
      </c>
      <c r="M2981" t="n">
        <v>0</v>
      </c>
    </row>
    <row r="2982" spans="1:13">
      <c r="A2982" s="1">
        <f>HYPERLINK("http://www.twitter.com/NathanBLawrence/status/890780085661380608", "890780085661380608")</f>
        <v/>
      </c>
      <c r="B2982" s="2" t="n">
        <v>42944.1562037037</v>
      </c>
      <c r="C2982" t="n">
        <v>0</v>
      </c>
      <c r="D2982" t="n">
        <v>0</v>
      </c>
      <c r="E2982" t="s">
        <v>2991</v>
      </c>
      <c r="F2982" t="s"/>
      <c r="G2982" t="s"/>
      <c r="H2982" t="s"/>
      <c r="I2982" t="s"/>
      <c r="J2982" t="n">
        <v>0.6933</v>
      </c>
      <c r="K2982" t="n">
        <v>0</v>
      </c>
      <c r="L2982" t="n">
        <v>0.699</v>
      </c>
      <c r="M2982" t="n">
        <v>0.301</v>
      </c>
    </row>
    <row r="2983" spans="1:13">
      <c r="A2983" s="1">
        <f>HYPERLINK("http://www.twitter.com/NathanBLawrence/status/890778479129751552", "890778479129751552")</f>
        <v/>
      </c>
      <c r="B2983" s="2" t="n">
        <v>42944.15177083333</v>
      </c>
      <c r="C2983" t="n">
        <v>0</v>
      </c>
      <c r="D2983" t="n">
        <v>211</v>
      </c>
      <c r="E2983" t="s">
        <v>2992</v>
      </c>
      <c r="F2983" t="s"/>
      <c r="G2983" t="s"/>
      <c r="H2983" t="s"/>
      <c r="I2983" t="s"/>
      <c r="J2983" t="n">
        <v>0</v>
      </c>
      <c r="K2983" t="n">
        <v>0</v>
      </c>
      <c r="L2983" t="n">
        <v>1</v>
      </c>
      <c r="M2983" t="n">
        <v>0</v>
      </c>
    </row>
    <row r="2984" spans="1:13">
      <c r="A2984" s="1">
        <f>HYPERLINK("http://www.twitter.com/NathanBLawrence/status/890777067595456512", "890777067595456512")</f>
        <v/>
      </c>
      <c r="B2984" s="2" t="n">
        <v>42944.14788194445</v>
      </c>
      <c r="C2984" t="n">
        <v>0</v>
      </c>
      <c r="D2984" t="n">
        <v>0</v>
      </c>
      <c r="E2984" t="s">
        <v>2993</v>
      </c>
      <c r="F2984" t="s"/>
      <c r="G2984" t="s"/>
      <c r="H2984" t="s"/>
      <c r="I2984" t="s"/>
      <c r="J2984" t="n">
        <v>0</v>
      </c>
      <c r="K2984" t="n">
        <v>0</v>
      </c>
      <c r="L2984" t="n">
        <v>1</v>
      </c>
      <c r="M2984" t="n">
        <v>0</v>
      </c>
    </row>
    <row r="2985" spans="1:13">
      <c r="A2985" s="1">
        <f>HYPERLINK("http://www.twitter.com/NathanBLawrence/status/890774433996189696", "890774433996189696")</f>
        <v/>
      </c>
      <c r="B2985" s="2" t="n">
        <v>42944.14061342592</v>
      </c>
      <c r="C2985" t="n">
        <v>0</v>
      </c>
      <c r="D2985" t="n">
        <v>0</v>
      </c>
      <c r="E2985" t="s">
        <v>2994</v>
      </c>
      <c r="F2985" t="s"/>
      <c r="G2985" t="s"/>
      <c r="H2985" t="s"/>
      <c r="I2985" t="s"/>
      <c r="J2985" t="n">
        <v>0</v>
      </c>
      <c r="K2985" t="n">
        <v>0</v>
      </c>
      <c r="L2985" t="n">
        <v>1</v>
      </c>
      <c r="M2985" t="n">
        <v>0</v>
      </c>
    </row>
    <row r="2986" spans="1:13">
      <c r="A2986" s="1">
        <f>HYPERLINK("http://www.twitter.com/NathanBLawrence/status/890755132920614913", "890755132920614913")</f>
        <v/>
      </c>
      <c r="B2986" s="2" t="n">
        <v>42944.08734953704</v>
      </c>
      <c r="C2986" t="n">
        <v>1</v>
      </c>
      <c r="D2986" t="n">
        <v>0</v>
      </c>
      <c r="E2986" t="s">
        <v>2995</v>
      </c>
      <c r="F2986" t="s"/>
      <c r="G2986" t="s"/>
      <c r="H2986" t="s"/>
      <c r="I2986" t="s"/>
      <c r="J2986" t="n">
        <v>0.6369</v>
      </c>
      <c r="K2986" t="n">
        <v>0</v>
      </c>
      <c r="L2986" t="n">
        <v>0.488</v>
      </c>
      <c r="M2986" t="n">
        <v>0.512</v>
      </c>
    </row>
    <row r="2987" spans="1:13">
      <c r="A2987" s="1">
        <f>HYPERLINK("http://www.twitter.com/NathanBLawrence/status/890754901193744388", "890754901193744388")</f>
        <v/>
      </c>
      <c r="B2987" s="2" t="n">
        <v>42944.08671296296</v>
      </c>
      <c r="C2987" t="n">
        <v>0</v>
      </c>
      <c r="D2987" t="n">
        <v>0</v>
      </c>
      <c r="E2987" t="s">
        <v>2996</v>
      </c>
      <c r="F2987" t="s"/>
      <c r="G2987" t="s"/>
      <c r="H2987" t="s"/>
      <c r="I2987" t="s"/>
      <c r="J2987" t="n">
        <v>0</v>
      </c>
      <c r="K2987" t="n">
        <v>0</v>
      </c>
      <c r="L2987" t="n">
        <v>1</v>
      </c>
      <c r="M2987" t="n">
        <v>0</v>
      </c>
    </row>
    <row r="2988" spans="1:13">
      <c r="A2988" s="1">
        <f>HYPERLINK("http://www.twitter.com/NathanBLawrence/status/890701317211123712", "890701317211123712")</f>
        <v/>
      </c>
      <c r="B2988" s="2" t="n">
        <v>42943.93885416666</v>
      </c>
      <c r="C2988" t="n">
        <v>0</v>
      </c>
      <c r="D2988" t="n">
        <v>1</v>
      </c>
      <c r="E2988" t="s">
        <v>2997</v>
      </c>
      <c r="F2988" t="s"/>
      <c r="G2988" t="s"/>
      <c r="H2988" t="s"/>
      <c r="I2988" t="s"/>
      <c r="J2988" t="n">
        <v>0</v>
      </c>
      <c r="K2988" t="n">
        <v>0</v>
      </c>
      <c r="L2988" t="n">
        <v>1</v>
      </c>
      <c r="M2988" t="n">
        <v>0</v>
      </c>
    </row>
    <row r="2989" spans="1:13">
      <c r="A2989" s="1">
        <f>HYPERLINK("http://www.twitter.com/NathanBLawrence/status/890699191470706688", "890699191470706688")</f>
        <v/>
      </c>
      <c r="B2989" s="2" t="n">
        <v>42943.93298611111</v>
      </c>
      <c r="C2989" t="n">
        <v>0</v>
      </c>
      <c r="D2989" t="n">
        <v>0</v>
      </c>
      <c r="E2989" t="s">
        <v>2998</v>
      </c>
      <c r="F2989" t="s"/>
      <c r="G2989" t="s"/>
      <c r="H2989" t="s"/>
      <c r="I2989" t="s"/>
      <c r="J2989" t="n">
        <v>0</v>
      </c>
      <c r="K2989" t="n">
        <v>0</v>
      </c>
      <c r="L2989" t="n">
        <v>1</v>
      </c>
      <c r="M2989" t="n">
        <v>0</v>
      </c>
    </row>
    <row r="2990" spans="1:13">
      <c r="A2990" s="1">
        <f>HYPERLINK("http://www.twitter.com/NathanBLawrence/status/890633533625999360", "890633533625999360")</f>
        <v/>
      </c>
      <c r="B2990" s="2" t="n">
        <v>42943.75180555556</v>
      </c>
      <c r="C2990" t="n">
        <v>0</v>
      </c>
      <c r="D2990" t="n">
        <v>0</v>
      </c>
      <c r="E2990" t="s">
        <v>2999</v>
      </c>
      <c r="F2990" t="s"/>
      <c r="G2990" t="s"/>
      <c r="H2990" t="s"/>
      <c r="I2990" t="s"/>
      <c r="J2990" t="n">
        <v>0</v>
      </c>
      <c r="K2990" t="n">
        <v>0</v>
      </c>
      <c r="L2990" t="n">
        <v>1</v>
      </c>
      <c r="M2990" t="n">
        <v>0</v>
      </c>
    </row>
    <row r="2991" spans="1:13">
      <c r="A2991" s="1">
        <f>HYPERLINK("http://www.twitter.com/NathanBLawrence/status/890617634500124672", "890617634500124672")</f>
        <v/>
      </c>
      <c r="B2991" s="2" t="n">
        <v>42943.70792824074</v>
      </c>
      <c r="C2991" t="n">
        <v>0</v>
      </c>
      <c r="D2991" t="n">
        <v>0</v>
      </c>
      <c r="E2991" t="s">
        <v>3000</v>
      </c>
      <c r="F2991" t="s"/>
      <c r="G2991" t="s"/>
      <c r="H2991" t="s"/>
      <c r="I2991" t="s"/>
      <c r="J2991" t="n">
        <v>-0.4939</v>
      </c>
      <c r="K2991" t="n">
        <v>0.516</v>
      </c>
      <c r="L2991" t="n">
        <v>0.484</v>
      </c>
      <c r="M2991" t="n">
        <v>0</v>
      </c>
    </row>
    <row r="2992" spans="1:13">
      <c r="A2992" s="1">
        <f>HYPERLINK("http://www.twitter.com/NathanBLawrence/status/890616967966715904", "890616967966715904")</f>
        <v/>
      </c>
      <c r="B2992" s="2" t="n">
        <v>42943.70608796296</v>
      </c>
      <c r="C2992" t="n">
        <v>1</v>
      </c>
      <c r="D2992" t="n">
        <v>0</v>
      </c>
      <c r="E2992" t="s">
        <v>3001</v>
      </c>
      <c r="F2992" t="s"/>
      <c r="G2992" t="s"/>
      <c r="H2992" t="s"/>
      <c r="I2992" t="s"/>
      <c r="J2992" t="n">
        <v>0</v>
      </c>
      <c r="K2992" t="n">
        <v>0</v>
      </c>
      <c r="L2992" t="n">
        <v>1</v>
      </c>
      <c r="M2992" t="n">
        <v>0</v>
      </c>
    </row>
    <row r="2993" spans="1:13">
      <c r="A2993" s="1">
        <f>HYPERLINK("http://www.twitter.com/NathanBLawrence/status/890583710696910849", "890583710696910849")</f>
        <v/>
      </c>
      <c r="B2993" s="2" t="n">
        <v>42943.61431712963</v>
      </c>
      <c r="C2993" t="n">
        <v>1</v>
      </c>
      <c r="D2993" t="n">
        <v>1</v>
      </c>
      <c r="E2993" t="s">
        <v>3002</v>
      </c>
      <c r="F2993" t="s"/>
      <c r="G2993" t="s"/>
      <c r="H2993" t="s"/>
      <c r="I2993" t="s"/>
      <c r="J2993" t="n">
        <v>0</v>
      </c>
      <c r="K2993" t="n">
        <v>0</v>
      </c>
      <c r="L2993" t="n">
        <v>1</v>
      </c>
      <c r="M2993" t="n">
        <v>0</v>
      </c>
    </row>
    <row r="2994" spans="1:13">
      <c r="A2994" s="1">
        <f>HYPERLINK("http://www.twitter.com/NathanBLawrence/status/890583541746159617", "890583541746159617")</f>
        <v/>
      </c>
      <c r="B2994" s="2" t="n">
        <v>42943.61385416667</v>
      </c>
      <c r="C2994" t="n">
        <v>1</v>
      </c>
      <c r="D2994" t="n">
        <v>1</v>
      </c>
      <c r="E2994" t="s">
        <v>3003</v>
      </c>
      <c r="F2994">
        <f>HYPERLINK("http://pbs.twimg.com/media/DFv9AdNXsAAbrvs.jpg", "http://pbs.twimg.com/media/DFv9AdNXsAAbrvs.jpg")</f>
        <v/>
      </c>
      <c r="G2994" t="s"/>
      <c r="H2994" t="s"/>
      <c r="I2994" t="s"/>
      <c r="J2994" t="n">
        <v>0</v>
      </c>
      <c r="K2994" t="n">
        <v>0</v>
      </c>
      <c r="L2994" t="n">
        <v>1</v>
      </c>
      <c r="M2994" t="n">
        <v>0</v>
      </c>
    </row>
    <row r="2995" spans="1:13">
      <c r="A2995" s="1">
        <f>HYPERLINK("http://www.twitter.com/NathanBLawrence/status/890561483549143040", "890561483549143040")</f>
        <v/>
      </c>
      <c r="B2995" s="2" t="n">
        <v>42943.55298611111</v>
      </c>
      <c r="C2995" t="n">
        <v>0</v>
      </c>
      <c r="D2995" t="n">
        <v>0</v>
      </c>
      <c r="E2995" t="s">
        <v>3004</v>
      </c>
      <c r="F2995" t="s"/>
      <c r="G2995" t="s"/>
      <c r="H2995" t="s"/>
      <c r="I2995" t="s"/>
      <c r="J2995" t="n">
        <v>0</v>
      </c>
      <c r="K2995" t="n">
        <v>0</v>
      </c>
      <c r="L2995" t="n">
        <v>1</v>
      </c>
      <c r="M2995" t="n">
        <v>0</v>
      </c>
    </row>
    <row r="2996" spans="1:13">
      <c r="A2996" s="1">
        <f>HYPERLINK("http://www.twitter.com/NathanBLawrence/status/890560891921596419", "890560891921596419")</f>
        <v/>
      </c>
      <c r="B2996" s="2" t="n">
        <v>42943.55135416667</v>
      </c>
      <c r="C2996" t="n">
        <v>0</v>
      </c>
      <c r="D2996" t="n">
        <v>24324</v>
      </c>
      <c r="E2996" t="s">
        <v>3005</v>
      </c>
      <c r="F2996" t="s"/>
      <c r="G2996" t="s"/>
      <c r="H2996" t="s"/>
      <c r="I2996" t="s"/>
      <c r="J2996" t="n">
        <v>0.0772</v>
      </c>
      <c r="K2996" t="n">
        <v>0.137</v>
      </c>
      <c r="L2996" t="n">
        <v>0.711</v>
      </c>
      <c r="M2996" t="n">
        <v>0.152</v>
      </c>
    </row>
    <row r="2997" spans="1:13">
      <c r="A2997" s="1">
        <f>HYPERLINK("http://www.twitter.com/NathanBLawrence/status/890425283232358400", "890425283232358400")</f>
        <v/>
      </c>
      <c r="B2997" s="2" t="n">
        <v>42943.17714120371</v>
      </c>
      <c r="C2997" t="n">
        <v>0</v>
      </c>
      <c r="D2997" t="n">
        <v>0</v>
      </c>
      <c r="E2997" t="s">
        <v>3006</v>
      </c>
      <c r="F2997" t="s"/>
      <c r="G2997" t="s"/>
      <c r="H2997" t="s"/>
      <c r="I2997" t="s"/>
      <c r="J2997" t="n">
        <v>-0.3182</v>
      </c>
      <c r="K2997" t="n">
        <v>0.095</v>
      </c>
      <c r="L2997" t="n">
        <v>0.905</v>
      </c>
      <c r="M2997" t="n">
        <v>0</v>
      </c>
    </row>
    <row r="2998" spans="1:13">
      <c r="A2998" s="1">
        <f>HYPERLINK("http://www.twitter.com/NathanBLawrence/status/890424363543142400", "890424363543142400")</f>
        <v/>
      </c>
      <c r="B2998" s="2" t="n">
        <v>42943.17460648148</v>
      </c>
      <c r="C2998" t="n">
        <v>0</v>
      </c>
      <c r="D2998" t="n">
        <v>0</v>
      </c>
      <c r="E2998" t="s">
        <v>3007</v>
      </c>
      <c r="F2998" t="s"/>
      <c r="G2998" t="s"/>
      <c r="H2998" t="s"/>
      <c r="I2998" t="s"/>
      <c r="J2998" t="n">
        <v>-0.8139999999999999</v>
      </c>
      <c r="K2998" t="n">
        <v>0.312</v>
      </c>
      <c r="L2998" t="n">
        <v>0.629</v>
      </c>
      <c r="M2998" t="n">
        <v>0.059</v>
      </c>
    </row>
    <row r="2999" spans="1:13">
      <c r="A2999" s="1">
        <f>HYPERLINK("http://www.twitter.com/NathanBLawrence/status/890420524546961408", "890420524546961408")</f>
        <v/>
      </c>
      <c r="B2999" s="2" t="n">
        <v>42943.16400462963</v>
      </c>
      <c r="C2999" t="n">
        <v>0</v>
      </c>
      <c r="D2999" t="n">
        <v>0</v>
      </c>
      <c r="E2999" t="s">
        <v>3008</v>
      </c>
      <c r="F2999" t="s"/>
      <c r="G2999" t="s"/>
      <c r="H2999" t="s"/>
      <c r="I2999" t="s"/>
      <c r="J2999" t="n">
        <v>0.4939</v>
      </c>
      <c r="K2999" t="n">
        <v>0</v>
      </c>
      <c r="L2999" t="n">
        <v>0.89</v>
      </c>
      <c r="M2999" t="n">
        <v>0.11</v>
      </c>
    </row>
    <row r="3000" spans="1:13">
      <c r="A3000" s="1">
        <f>HYPERLINK("http://www.twitter.com/NathanBLawrence/status/890371689179164673", "890371689179164673")</f>
        <v/>
      </c>
      <c r="B3000" s="2" t="n">
        <v>42943.02924768518</v>
      </c>
      <c r="C3000" t="n">
        <v>0</v>
      </c>
      <c r="D3000" t="n">
        <v>1</v>
      </c>
      <c r="E3000" t="s">
        <v>3009</v>
      </c>
      <c r="F3000" t="s"/>
      <c r="G3000" t="s"/>
      <c r="H3000" t="s"/>
      <c r="I3000" t="s"/>
      <c r="J3000" t="n">
        <v>0</v>
      </c>
      <c r="K3000" t="n">
        <v>0</v>
      </c>
      <c r="L3000" t="n">
        <v>1</v>
      </c>
      <c r="M3000" t="n">
        <v>0</v>
      </c>
    </row>
    <row r="3001" spans="1:13">
      <c r="A3001" s="1">
        <f>HYPERLINK("http://www.twitter.com/NathanBLawrence/status/890358522151612417", "890358522151612417")</f>
        <v/>
      </c>
      <c r="B3001" s="2" t="n">
        <v>42942.99291666667</v>
      </c>
      <c r="C3001" t="n">
        <v>0</v>
      </c>
      <c r="D3001" t="n">
        <v>6026</v>
      </c>
      <c r="E3001" t="s">
        <v>3010</v>
      </c>
      <c r="F3001">
        <f>HYPERLINK("http://pbs.twimg.com/media/DFshfAcV0AAaksF.jpg", "http://pbs.twimg.com/media/DFshfAcV0AAaksF.jpg")</f>
        <v/>
      </c>
      <c r="G3001" t="s"/>
      <c r="H3001" t="s"/>
      <c r="I3001" t="s"/>
      <c r="J3001" t="n">
        <v>-0.6369</v>
      </c>
      <c r="K3001" t="n">
        <v>0.198</v>
      </c>
      <c r="L3001" t="n">
        <v>0.802</v>
      </c>
      <c r="M3001" t="n">
        <v>0</v>
      </c>
    </row>
    <row r="3002" spans="1:13">
      <c r="A3002" s="1">
        <f>HYPERLINK("http://www.twitter.com/NathanBLawrence/status/890357411466399744", "890357411466399744")</f>
        <v/>
      </c>
      <c r="B3002" s="2" t="n">
        <v>42942.98984953704</v>
      </c>
      <c r="C3002" t="n">
        <v>0</v>
      </c>
      <c r="D3002" t="n">
        <v>0</v>
      </c>
      <c r="E3002" t="s">
        <v>3011</v>
      </c>
      <c r="F3002" t="s"/>
      <c r="G3002" t="s"/>
      <c r="H3002" t="s"/>
      <c r="I3002" t="s"/>
      <c r="J3002" t="n">
        <v>0</v>
      </c>
      <c r="K3002" t="n">
        <v>0</v>
      </c>
      <c r="L3002" t="n">
        <v>1</v>
      </c>
      <c r="M3002" t="n">
        <v>0</v>
      </c>
    </row>
    <row r="3003" spans="1:13">
      <c r="A3003" s="1">
        <f>HYPERLINK("http://www.twitter.com/NathanBLawrence/status/890347090701955073", "890347090701955073")</f>
        <v/>
      </c>
      <c r="B3003" s="2" t="n">
        <v>42942.96136574074</v>
      </c>
      <c r="C3003" t="n">
        <v>2</v>
      </c>
      <c r="D3003" t="n">
        <v>1</v>
      </c>
      <c r="E3003" t="s">
        <v>3012</v>
      </c>
      <c r="F3003" t="s"/>
      <c r="G3003" t="s"/>
      <c r="H3003" t="s"/>
      <c r="I3003" t="s"/>
      <c r="J3003" t="n">
        <v>0</v>
      </c>
      <c r="K3003" t="n">
        <v>0</v>
      </c>
      <c r="L3003" t="n">
        <v>1</v>
      </c>
      <c r="M3003" t="n">
        <v>0</v>
      </c>
    </row>
    <row r="3004" spans="1:13">
      <c r="A3004" s="1">
        <f>HYPERLINK("http://www.twitter.com/NathanBLawrence/status/890332255750688773", "890332255750688773")</f>
        <v/>
      </c>
      <c r="B3004" s="2" t="n">
        <v>42942.92043981481</v>
      </c>
      <c r="C3004" t="n">
        <v>0</v>
      </c>
      <c r="D3004" t="n">
        <v>0</v>
      </c>
      <c r="E3004" t="s">
        <v>3013</v>
      </c>
      <c r="F3004" t="s"/>
      <c r="G3004" t="s"/>
      <c r="H3004" t="s"/>
      <c r="I3004" t="s"/>
      <c r="J3004" t="n">
        <v>-0.4939</v>
      </c>
      <c r="K3004" t="n">
        <v>0.262</v>
      </c>
      <c r="L3004" t="n">
        <v>0.738</v>
      </c>
      <c r="M3004" t="n">
        <v>0</v>
      </c>
    </row>
    <row r="3005" spans="1:13">
      <c r="A3005" s="1">
        <f>HYPERLINK("http://www.twitter.com/NathanBLawrence/status/890331772931764224", "890331772931764224")</f>
        <v/>
      </c>
      <c r="B3005" s="2" t="n">
        <v>42942.91909722222</v>
      </c>
      <c r="C3005" t="n">
        <v>0</v>
      </c>
      <c r="D3005" t="n">
        <v>0</v>
      </c>
      <c r="E3005" t="s">
        <v>3014</v>
      </c>
      <c r="F3005" t="s"/>
      <c r="G3005" t="s"/>
      <c r="H3005" t="s"/>
      <c r="I3005" t="s"/>
      <c r="J3005" t="n">
        <v>0</v>
      </c>
      <c r="K3005" t="n">
        <v>0</v>
      </c>
      <c r="L3005" t="n">
        <v>1</v>
      </c>
      <c r="M3005" t="n">
        <v>0</v>
      </c>
    </row>
    <row r="3006" spans="1:13">
      <c r="A3006" s="1">
        <f>HYPERLINK("http://www.twitter.com/NathanBLawrence/status/890328004337033216", "890328004337033216")</f>
        <v/>
      </c>
      <c r="B3006" s="2" t="n">
        <v>42942.9087037037</v>
      </c>
      <c r="C3006" t="n">
        <v>0</v>
      </c>
      <c r="D3006" t="n">
        <v>0</v>
      </c>
      <c r="E3006" t="s">
        <v>3015</v>
      </c>
      <c r="F3006" t="s"/>
      <c r="G3006" t="s"/>
      <c r="H3006" t="s"/>
      <c r="I3006" t="s"/>
      <c r="J3006" t="n">
        <v>0.5229</v>
      </c>
      <c r="K3006" t="n">
        <v>0</v>
      </c>
      <c r="L3006" t="n">
        <v>0.703</v>
      </c>
      <c r="M3006" t="n">
        <v>0.297</v>
      </c>
    </row>
    <row r="3007" spans="1:13">
      <c r="A3007" s="1">
        <f>HYPERLINK("http://www.twitter.com/NathanBLawrence/status/890309639711141892", "890309639711141892")</f>
        <v/>
      </c>
      <c r="B3007" s="2" t="n">
        <v>42942.85802083334</v>
      </c>
      <c r="C3007" t="n">
        <v>1</v>
      </c>
      <c r="D3007" t="n">
        <v>0</v>
      </c>
      <c r="E3007" t="s">
        <v>3016</v>
      </c>
      <c r="F3007" t="s"/>
      <c r="G3007" t="s"/>
      <c r="H3007" t="s"/>
      <c r="I3007" t="s"/>
      <c r="J3007" t="n">
        <v>-0.3182</v>
      </c>
      <c r="K3007" t="n">
        <v>0.187</v>
      </c>
      <c r="L3007" t="n">
        <v>0.8129999999999999</v>
      </c>
      <c r="M3007" t="n">
        <v>0</v>
      </c>
    </row>
    <row r="3008" spans="1:13">
      <c r="A3008" s="1">
        <f>HYPERLINK("http://www.twitter.com/NathanBLawrence/status/890280923639492614", "890280923639492614")</f>
        <v/>
      </c>
      <c r="B3008" s="2" t="n">
        <v>42942.77878472222</v>
      </c>
      <c r="C3008" t="n">
        <v>0</v>
      </c>
      <c r="D3008" t="n">
        <v>0</v>
      </c>
      <c r="E3008" t="s">
        <v>3017</v>
      </c>
      <c r="F3008">
        <f>HYPERLINK("http://pbs.twimg.com/media/DFrpxygUMAAEgdt.jpg", "http://pbs.twimg.com/media/DFrpxygUMAAEgdt.jpg")</f>
        <v/>
      </c>
      <c r="G3008" t="s"/>
      <c r="H3008" t="s"/>
      <c r="I3008" t="s"/>
      <c r="J3008" t="n">
        <v>0</v>
      </c>
      <c r="K3008" t="n">
        <v>0</v>
      </c>
      <c r="L3008" t="n">
        <v>1</v>
      </c>
      <c r="M3008" t="n">
        <v>0</v>
      </c>
    </row>
    <row r="3009" spans="1:13">
      <c r="A3009" s="1">
        <f>HYPERLINK("http://www.twitter.com/NathanBLawrence/status/890280821764050945", "890280821764050945")</f>
        <v/>
      </c>
      <c r="B3009" s="2" t="n">
        <v>42942.77850694444</v>
      </c>
      <c r="C3009" t="n">
        <v>0</v>
      </c>
      <c r="D3009" t="n">
        <v>0</v>
      </c>
      <c r="E3009" t="s">
        <v>3018</v>
      </c>
      <c r="F3009">
        <f>HYPERLINK("http://pbs.twimg.com/media/DFrprw9XkAERQRl.jpg", "http://pbs.twimg.com/media/DFrprw9XkAERQRl.jpg")</f>
        <v/>
      </c>
      <c r="G3009" t="s"/>
      <c r="H3009" t="s"/>
      <c r="I3009" t="s"/>
      <c r="J3009" t="n">
        <v>0</v>
      </c>
      <c r="K3009" t="n">
        <v>0</v>
      </c>
      <c r="L3009" t="n">
        <v>1</v>
      </c>
      <c r="M3009" t="n">
        <v>0</v>
      </c>
    </row>
    <row r="3010" spans="1:13">
      <c r="A3010" s="1">
        <f>HYPERLINK("http://www.twitter.com/NathanBLawrence/status/890279564982857728", "890279564982857728")</f>
        <v/>
      </c>
      <c r="B3010" s="2" t="n">
        <v>42942.77503472222</v>
      </c>
      <c r="C3010" t="n">
        <v>0</v>
      </c>
      <c r="D3010" t="n">
        <v>0</v>
      </c>
      <c r="E3010" t="s">
        <v>3019</v>
      </c>
      <c r="F3010" t="s"/>
      <c r="G3010" t="s"/>
      <c r="H3010" t="s"/>
      <c r="I3010" t="s"/>
      <c r="J3010" t="n">
        <v>0</v>
      </c>
      <c r="K3010" t="n">
        <v>0</v>
      </c>
      <c r="L3010" t="n">
        <v>1</v>
      </c>
      <c r="M3010" t="n">
        <v>0</v>
      </c>
    </row>
    <row r="3011" spans="1:13">
      <c r="A3011" s="1">
        <f>HYPERLINK("http://www.twitter.com/NathanBLawrence/status/890277563511316480", "890277563511316480")</f>
        <v/>
      </c>
      <c r="B3011" s="2" t="n">
        <v>42942.76951388889</v>
      </c>
      <c r="C3011" t="n">
        <v>0</v>
      </c>
      <c r="D3011" t="n">
        <v>0</v>
      </c>
      <c r="E3011" t="s">
        <v>3020</v>
      </c>
      <c r="F3011" t="s"/>
      <c r="G3011" t="s"/>
      <c r="H3011" t="s"/>
      <c r="I3011" t="s"/>
      <c r="J3011" t="n">
        <v>0</v>
      </c>
      <c r="K3011" t="n">
        <v>0</v>
      </c>
      <c r="L3011" t="n">
        <v>1</v>
      </c>
      <c r="M3011" t="n">
        <v>0</v>
      </c>
    </row>
    <row r="3012" spans="1:13">
      <c r="A3012" s="1">
        <f>HYPERLINK("http://www.twitter.com/NathanBLawrence/status/890269382122799116", "890269382122799116")</f>
        <v/>
      </c>
      <c r="B3012" s="2" t="n">
        <v>42942.74693287037</v>
      </c>
      <c r="C3012" t="n">
        <v>0</v>
      </c>
      <c r="D3012" t="n">
        <v>0</v>
      </c>
      <c r="E3012" t="s">
        <v>3021</v>
      </c>
      <c r="F3012" t="s"/>
      <c r="G3012" t="s"/>
      <c r="H3012" t="s"/>
      <c r="I3012" t="s"/>
      <c r="J3012" t="n">
        <v>0</v>
      </c>
      <c r="K3012" t="n">
        <v>0</v>
      </c>
      <c r="L3012" t="n">
        <v>1</v>
      </c>
      <c r="M3012" t="n">
        <v>0</v>
      </c>
    </row>
    <row r="3013" spans="1:13">
      <c r="A3013" s="1">
        <f>HYPERLINK("http://www.twitter.com/NathanBLawrence/status/890268434235260937", "890268434235260937")</f>
        <v/>
      </c>
      <c r="B3013" s="2" t="n">
        <v>42942.74431712963</v>
      </c>
      <c r="C3013" t="n">
        <v>0</v>
      </c>
      <c r="D3013" t="n">
        <v>0</v>
      </c>
      <c r="E3013" t="s">
        <v>3022</v>
      </c>
      <c r="F3013" t="s"/>
      <c r="G3013" t="s"/>
      <c r="H3013" t="s"/>
      <c r="I3013" t="s"/>
      <c r="J3013" t="n">
        <v>-0.4588</v>
      </c>
      <c r="K3013" t="n">
        <v>0.5</v>
      </c>
      <c r="L3013" t="n">
        <v>0.5</v>
      </c>
      <c r="M3013" t="n">
        <v>0</v>
      </c>
    </row>
    <row r="3014" spans="1:13">
      <c r="A3014" s="1">
        <f>HYPERLINK("http://www.twitter.com/NathanBLawrence/status/890262378868355073", "890262378868355073")</f>
        <v/>
      </c>
      <c r="B3014" s="2" t="n">
        <v>42942.72761574074</v>
      </c>
      <c r="C3014" t="n">
        <v>0</v>
      </c>
      <c r="D3014" t="n">
        <v>0</v>
      </c>
      <c r="E3014" t="s">
        <v>3023</v>
      </c>
      <c r="F3014" t="s"/>
      <c r="G3014" t="s"/>
      <c r="H3014" t="s"/>
      <c r="I3014" t="s"/>
      <c r="J3014" t="n">
        <v>0</v>
      </c>
      <c r="K3014" t="n">
        <v>0</v>
      </c>
      <c r="L3014" t="n">
        <v>1</v>
      </c>
      <c r="M3014" t="n">
        <v>0</v>
      </c>
    </row>
    <row r="3015" spans="1:13">
      <c r="A3015" s="1">
        <f>HYPERLINK("http://www.twitter.com/NathanBLawrence/status/890259991956992000", "890259991956992000")</f>
        <v/>
      </c>
      <c r="B3015" s="2" t="n">
        <v>42942.72101851852</v>
      </c>
      <c r="C3015" t="n">
        <v>0</v>
      </c>
      <c r="D3015" t="n">
        <v>1</v>
      </c>
      <c r="E3015" t="s">
        <v>3024</v>
      </c>
      <c r="F3015" t="s"/>
      <c r="G3015" t="s"/>
      <c r="H3015" t="s"/>
      <c r="I3015" t="s"/>
      <c r="J3015" t="n">
        <v>0</v>
      </c>
      <c r="K3015" t="n">
        <v>0</v>
      </c>
      <c r="L3015" t="n">
        <v>1</v>
      </c>
      <c r="M3015" t="n">
        <v>0</v>
      </c>
    </row>
    <row r="3016" spans="1:13">
      <c r="A3016" s="1">
        <f>HYPERLINK("http://www.twitter.com/NathanBLawrence/status/890258779937394689", "890258779937394689")</f>
        <v/>
      </c>
      <c r="B3016" s="2" t="n">
        <v>42942.71768518518</v>
      </c>
      <c r="C3016" t="n">
        <v>0</v>
      </c>
      <c r="D3016" t="n">
        <v>38</v>
      </c>
      <c r="E3016" t="s">
        <v>3025</v>
      </c>
      <c r="F3016" t="s"/>
      <c r="G3016" t="s"/>
      <c r="H3016" t="s"/>
      <c r="I3016" t="s"/>
      <c r="J3016" t="n">
        <v>0</v>
      </c>
      <c r="K3016" t="n">
        <v>0</v>
      </c>
      <c r="L3016" t="n">
        <v>1</v>
      </c>
      <c r="M3016" t="n">
        <v>0</v>
      </c>
    </row>
    <row r="3017" spans="1:13">
      <c r="A3017" s="1">
        <f>HYPERLINK("http://www.twitter.com/NathanBLawrence/status/890253129245130753", "890253129245130753")</f>
        <v/>
      </c>
      <c r="B3017" s="2" t="n">
        <v>42942.70208333333</v>
      </c>
      <c r="C3017" t="n">
        <v>1</v>
      </c>
      <c r="D3017" t="n">
        <v>0</v>
      </c>
      <c r="E3017" t="s">
        <v>3026</v>
      </c>
      <c r="F3017" t="s"/>
      <c r="G3017" t="s"/>
      <c r="H3017" t="s"/>
      <c r="I3017" t="s"/>
      <c r="J3017" t="n">
        <v>0.6776</v>
      </c>
      <c r="K3017" t="n">
        <v>0</v>
      </c>
      <c r="L3017" t="n">
        <v>0.754</v>
      </c>
      <c r="M3017" t="n">
        <v>0.246</v>
      </c>
    </row>
    <row r="3018" spans="1:13">
      <c r="A3018" s="1">
        <f>HYPERLINK("http://www.twitter.com/NathanBLawrence/status/890249917997993988", "890249917997993988")</f>
        <v/>
      </c>
      <c r="B3018" s="2" t="n">
        <v>42942.69322916667</v>
      </c>
      <c r="C3018" t="n">
        <v>0</v>
      </c>
      <c r="D3018" t="n">
        <v>0</v>
      </c>
      <c r="E3018" t="s">
        <v>3027</v>
      </c>
      <c r="F3018" t="s"/>
      <c r="G3018" t="s"/>
      <c r="H3018" t="s"/>
      <c r="I3018" t="s"/>
      <c r="J3018" t="n">
        <v>0</v>
      </c>
      <c r="K3018" t="n">
        <v>0</v>
      </c>
      <c r="L3018" t="n">
        <v>1</v>
      </c>
      <c r="M3018" t="n">
        <v>0</v>
      </c>
    </row>
    <row r="3019" spans="1:13">
      <c r="A3019" s="1">
        <f>HYPERLINK("http://www.twitter.com/NathanBLawrence/status/890248728740859906", "890248728740859906")</f>
        <v/>
      </c>
      <c r="B3019" s="2" t="n">
        <v>42942.68994212963</v>
      </c>
      <c r="C3019" t="n">
        <v>0</v>
      </c>
      <c r="D3019" t="n">
        <v>0</v>
      </c>
      <c r="E3019" t="s">
        <v>3028</v>
      </c>
      <c r="F3019" t="s"/>
      <c r="G3019" t="s"/>
      <c r="H3019" t="s"/>
      <c r="I3019" t="s"/>
      <c r="J3019" t="n">
        <v>0</v>
      </c>
      <c r="K3019" t="n">
        <v>0</v>
      </c>
      <c r="L3019" t="n">
        <v>1</v>
      </c>
      <c r="M3019" t="n">
        <v>0</v>
      </c>
    </row>
    <row r="3020" spans="1:13">
      <c r="A3020" s="1">
        <f>HYPERLINK("http://www.twitter.com/NathanBLawrence/status/890216367626088450", "890216367626088450")</f>
        <v/>
      </c>
      <c r="B3020" s="2" t="n">
        <v>42942.60064814815</v>
      </c>
      <c r="C3020" t="n">
        <v>0</v>
      </c>
      <c r="D3020" t="n">
        <v>0</v>
      </c>
      <c r="E3020" t="s">
        <v>3029</v>
      </c>
      <c r="F3020" t="s"/>
      <c r="G3020" t="s"/>
      <c r="H3020" t="s"/>
      <c r="I3020" t="s"/>
      <c r="J3020" t="n">
        <v>0.9144</v>
      </c>
      <c r="K3020" t="n">
        <v>0</v>
      </c>
      <c r="L3020" t="n">
        <v>0.662</v>
      </c>
      <c r="M3020" t="n">
        <v>0.338</v>
      </c>
    </row>
    <row r="3021" spans="1:13">
      <c r="A3021" s="1">
        <f>HYPERLINK("http://www.twitter.com/NathanBLawrence/status/890200032410030081", "890200032410030081")</f>
        <v/>
      </c>
      <c r="B3021" s="2" t="n">
        <v>42942.55556712963</v>
      </c>
      <c r="C3021" t="n">
        <v>1</v>
      </c>
      <c r="D3021" t="n">
        <v>0</v>
      </c>
      <c r="E3021" t="s">
        <v>3030</v>
      </c>
      <c r="F3021" t="s"/>
      <c r="G3021" t="s"/>
      <c r="H3021" t="s"/>
      <c r="I3021" t="s"/>
      <c r="J3021" t="n">
        <v>0.4019</v>
      </c>
      <c r="K3021" t="n">
        <v>0</v>
      </c>
      <c r="L3021" t="n">
        <v>0.6899999999999999</v>
      </c>
      <c r="M3021" t="n">
        <v>0.31</v>
      </c>
    </row>
    <row r="3022" spans="1:13">
      <c r="A3022" s="1">
        <f>HYPERLINK("http://www.twitter.com/NathanBLawrence/status/890198118469390336", "890198118469390336")</f>
        <v/>
      </c>
      <c r="B3022" s="2" t="n">
        <v>42942.55028935185</v>
      </c>
      <c r="C3022" t="n">
        <v>1</v>
      </c>
      <c r="D3022" t="n">
        <v>1</v>
      </c>
      <c r="E3022" t="s">
        <v>3031</v>
      </c>
      <c r="F3022" t="s"/>
      <c r="G3022" t="s"/>
      <c r="H3022" t="s"/>
      <c r="I3022" t="s"/>
      <c r="J3022" t="n">
        <v>0.4767</v>
      </c>
      <c r="K3022" t="n">
        <v>0</v>
      </c>
      <c r="L3022" t="n">
        <v>0.6929999999999999</v>
      </c>
      <c r="M3022" t="n">
        <v>0.307</v>
      </c>
    </row>
    <row r="3023" spans="1:13">
      <c r="A3023" s="1">
        <f>HYPERLINK("http://www.twitter.com/NathanBLawrence/status/890049226880757760", "890049226880757760")</f>
        <v/>
      </c>
      <c r="B3023" s="2" t="n">
        <v>42942.1394212963</v>
      </c>
      <c r="C3023" t="n">
        <v>0</v>
      </c>
      <c r="D3023" t="n">
        <v>0</v>
      </c>
      <c r="E3023" t="s">
        <v>3032</v>
      </c>
      <c r="F3023" t="s"/>
      <c r="G3023" t="s"/>
      <c r="H3023" t="s"/>
      <c r="I3023" t="s"/>
      <c r="J3023" t="n">
        <v>0</v>
      </c>
      <c r="K3023" t="n">
        <v>0</v>
      </c>
      <c r="L3023" t="n">
        <v>1</v>
      </c>
      <c r="M3023" t="n">
        <v>0</v>
      </c>
    </row>
    <row r="3024" spans="1:13">
      <c r="A3024" s="1">
        <f>HYPERLINK("http://www.twitter.com/NathanBLawrence/status/890040320532119552", "890040320532119552")</f>
        <v/>
      </c>
      <c r="B3024" s="2" t="n">
        <v>42942.11484953704</v>
      </c>
      <c r="C3024" t="n">
        <v>2</v>
      </c>
      <c r="D3024" t="n">
        <v>0</v>
      </c>
      <c r="E3024" t="s">
        <v>3033</v>
      </c>
      <c r="F3024" t="s"/>
      <c r="G3024" t="s"/>
      <c r="H3024" t="s"/>
      <c r="I3024" t="s"/>
      <c r="J3024" t="n">
        <v>0</v>
      </c>
      <c r="K3024" t="n">
        <v>0</v>
      </c>
      <c r="L3024" t="n">
        <v>1</v>
      </c>
      <c r="M3024" t="n">
        <v>0</v>
      </c>
    </row>
    <row r="3025" spans="1:13">
      <c r="A3025" s="1">
        <f>HYPERLINK("http://www.twitter.com/NathanBLawrence/status/890031871119302656", "890031871119302656")</f>
        <v/>
      </c>
      <c r="B3025" s="2" t="n">
        <v>42942.09152777777</v>
      </c>
      <c r="C3025" t="n">
        <v>0</v>
      </c>
      <c r="D3025" t="n">
        <v>0</v>
      </c>
      <c r="E3025" t="s">
        <v>3034</v>
      </c>
      <c r="F3025" t="s"/>
      <c r="G3025" t="s"/>
      <c r="H3025" t="s"/>
      <c r="I3025" t="s"/>
      <c r="J3025" t="n">
        <v>0.4215</v>
      </c>
      <c r="K3025" t="n">
        <v>0</v>
      </c>
      <c r="L3025" t="n">
        <v>0.641</v>
      </c>
      <c r="M3025" t="n">
        <v>0.359</v>
      </c>
    </row>
    <row r="3026" spans="1:13">
      <c r="A3026" s="1">
        <f>HYPERLINK("http://www.twitter.com/NathanBLawrence/status/890027234106511360", "890027234106511360")</f>
        <v/>
      </c>
      <c r="B3026" s="2" t="n">
        <v>42942.07873842592</v>
      </c>
      <c r="C3026" t="n">
        <v>1</v>
      </c>
      <c r="D3026" t="n">
        <v>0</v>
      </c>
      <c r="E3026" t="s">
        <v>3035</v>
      </c>
      <c r="F3026" t="s"/>
      <c r="G3026" t="s"/>
      <c r="H3026" t="s"/>
      <c r="I3026" t="s"/>
      <c r="J3026" t="n">
        <v>0</v>
      </c>
      <c r="K3026" t="n">
        <v>0</v>
      </c>
      <c r="L3026" t="n">
        <v>1</v>
      </c>
      <c r="M3026" t="n">
        <v>0</v>
      </c>
    </row>
    <row r="3027" spans="1:13">
      <c r="A3027" s="1">
        <f>HYPERLINK("http://www.twitter.com/NathanBLawrence/status/890015398032285698", "890015398032285698")</f>
        <v/>
      </c>
      <c r="B3027" s="2" t="n">
        <v>42942.04607638889</v>
      </c>
      <c r="C3027" t="n">
        <v>1</v>
      </c>
      <c r="D3027" t="n">
        <v>0</v>
      </c>
      <c r="E3027" t="s">
        <v>3036</v>
      </c>
      <c r="F3027" t="s"/>
      <c r="G3027" t="s"/>
      <c r="H3027" t="s"/>
      <c r="I3027" t="s"/>
      <c r="J3027" t="n">
        <v>0</v>
      </c>
      <c r="K3027" t="n">
        <v>0</v>
      </c>
      <c r="L3027" t="n">
        <v>1</v>
      </c>
      <c r="M3027" t="n">
        <v>0</v>
      </c>
    </row>
    <row r="3028" spans="1:13">
      <c r="A3028" s="1">
        <f>HYPERLINK("http://www.twitter.com/NathanBLawrence/status/890013631391424513", "890013631391424513")</f>
        <v/>
      </c>
      <c r="B3028" s="2" t="n">
        <v>42942.0412037037</v>
      </c>
      <c r="C3028" t="n">
        <v>0</v>
      </c>
      <c r="D3028" t="n">
        <v>16</v>
      </c>
      <c r="E3028" t="s">
        <v>3037</v>
      </c>
      <c r="F3028" t="s"/>
      <c r="G3028" t="s"/>
      <c r="H3028" t="s"/>
      <c r="I3028" t="s"/>
      <c r="J3028" t="n">
        <v>0</v>
      </c>
      <c r="K3028" t="n">
        <v>0</v>
      </c>
      <c r="L3028" t="n">
        <v>1</v>
      </c>
      <c r="M3028" t="n">
        <v>0</v>
      </c>
    </row>
    <row r="3029" spans="1:13">
      <c r="A3029" s="1">
        <f>HYPERLINK("http://www.twitter.com/NathanBLawrence/status/889926848267898881", "889926848267898881")</f>
        <v/>
      </c>
      <c r="B3029" s="2" t="n">
        <v>42941.80172453704</v>
      </c>
      <c r="C3029" t="n">
        <v>3</v>
      </c>
      <c r="D3029" t="n">
        <v>1</v>
      </c>
      <c r="E3029" t="s">
        <v>3038</v>
      </c>
      <c r="F3029" t="s"/>
      <c r="G3029" t="s"/>
      <c r="H3029" t="s"/>
      <c r="I3029" t="s"/>
      <c r="J3029" t="n">
        <v>0.5719</v>
      </c>
      <c r="K3029" t="n">
        <v>0</v>
      </c>
      <c r="L3029" t="n">
        <v>0.519</v>
      </c>
      <c r="M3029" t="n">
        <v>0.481</v>
      </c>
    </row>
    <row r="3030" spans="1:13">
      <c r="A3030" s="1">
        <f>HYPERLINK("http://www.twitter.com/NathanBLawrence/status/889894508854472707", "889894508854472707")</f>
        <v/>
      </c>
      <c r="B3030" s="2" t="n">
        <v>42941.71248842592</v>
      </c>
      <c r="C3030" t="n">
        <v>0</v>
      </c>
      <c r="D3030" t="n">
        <v>0</v>
      </c>
      <c r="E3030" t="s">
        <v>3039</v>
      </c>
      <c r="F3030" t="s"/>
      <c r="G3030" t="s"/>
      <c r="H3030" t="s"/>
      <c r="I3030" t="s"/>
      <c r="J3030" t="n">
        <v>-0.5216</v>
      </c>
      <c r="K3030" t="n">
        <v>0.325</v>
      </c>
      <c r="L3030" t="n">
        <v>0.675</v>
      </c>
      <c r="M3030" t="n">
        <v>0</v>
      </c>
    </row>
    <row r="3031" spans="1:13">
      <c r="A3031" s="1">
        <f>HYPERLINK("http://www.twitter.com/NathanBLawrence/status/889892844311379969", "889892844311379969")</f>
        <v/>
      </c>
      <c r="B3031" s="2" t="n">
        <v>42941.70789351852</v>
      </c>
      <c r="C3031" t="n">
        <v>0</v>
      </c>
      <c r="D3031" t="n">
        <v>0</v>
      </c>
      <c r="E3031" t="s">
        <v>3040</v>
      </c>
      <c r="F3031" t="s"/>
      <c r="G3031" t="s"/>
      <c r="H3031" t="s"/>
      <c r="I3031" t="s"/>
      <c r="J3031" t="n">
        <v>-0.4588</v>
      </c>
      <c r="K3031" t="n">
        <v>0.636</v>
      </c>
      <c r="L3031" t="n">
        <v>0.364</v>
      </c>
      <c r="M3031" t="n">
        <v>0</v>
      </c>
    </row>
    <row r="3032" spans="1:13">
      <c r="A3032" s="1">
        <f>HYPERLINK("http://www.twitter.com/NathanBLawrence/status/889884890124226562", "889884890124226562")</f>
        <v/>
      </c>
      <c r="B3032" s="2" t="n">
        <v>42941.6859375</v>
      </c>
      <c r="C3032" t="n">
        <v>0</v>
      </c>
      <c r="D3032" t="n">
        <v>0</v>
      </c>
      <c r="E3032" t="s">
        <v>3041</v>
      </c>
      <c r="F3032" t="s"/>
      <c r="G3032" t="s"/>
      <c r="H3032" t="s"/>
      <c r="I3032" t="s"/>
      <c r="J3032" t="n">
        <v>-0.3753</v>
      </c>
      <c r="K3032" t="n">
        <v>0.243</v>
      </c>
      <c r="L3032" t="n">
        <v>0.757</v>
      </c>
      <c r="M3032" t="n">
        <v>0</v>
      </c>
    </row>
    <row r="3033" spans="1:13">
      <c r="A3033" s="1">
        <f>HYPERLINK("http://www.twitter.com/NathanBLawrence/status/889866223575552000", "889866223575552000")</f>
        <v/>
      </c>
      <c r="B3033" s="2" t="n">
        <v>42941.63443287037</v>
      </c>
      <c r="C3033" t="n">
        <v>0</v>
      </c>
      <c r="D3033" t="n">
        <v>0</v>
      </c>
      <c r="E3033" t="s">
        <v>3042</v>
      </c>
      <c r="F3033" t="s"/>
      <c r="G3033" t="s"/>
      <c r="H3033" t="s"/>
      <c r="I3033" t="s"/>
      <c r="J3033" t="n">
        <v>0.4027</v>
      </c>
      <c r="K3033" t="n">
        <v>0.126</v>
      </c>
      <c r="L3033" t="n">
        <v>0.583</v>
      </c>
      <c r="M3033" t="n">
        <v>0.291</v>
      </c>
    </row>
    <row r="3034" spans="1:13">
      <c r="A3034" s="1">
        <f>HYPERLINK("http://www.twitter.com/NathanBLawrence/status/889865103113428993", "889865103113428993")</f>
        <v/>
      </c>
      <c r="B3034" s="2" t="n">
        <v>42941.63134259259</v>
      </c>
      <c r="C3034" t="n">
        <v>0</v>
      </c>
      <c r="D3034" t="n">
        <v>0</v>
      </c>
      <c r="E3034" t="s">
        <v>3043</v>
      </c>
      <c r="F3034" t="s"/>
      <c r="G3034" t="s"/>
      <c r="H3034" t="s"/>
      <c r="I3034" t="s"/>
      <c r="J3034" t="n">
        <v>0.3182</v>
      </c>
      <c r="K3034" t="n">
        <v>0</v>
      </c>
      <c r="L3034" t="n">
        <v>0.6850000000000001</v>
      </c>
      <c r="M3034" t="n">
        <v>0.315</v>
      </c>
    </row>
    <row r="3035" spans="1:13">
      <c r="A3035" s="1">
        <f>HYPERLINK("http://www.twitter.com/NathanBLawrence/status/889862583330754562", "889862583330754562")</f>
        <v/>
      </c>
      <c r="B3035" s="2" t="n">
        <v>42941.62438657408</v>
      </c>
      <c r="C3035" t="n">
        <v>0</v>
      </c>
      <c r="D3035" t="n">
        <v>1421</v>
      </c>
      <c r="E3035" t="s">
        <v>3044</v>
      </c>
      <c r="F3035" t="s"/>
      <c r="G3035" t="s"/>
      <c r="H3035" t="s"/>
      <c r="I3035" t="s"/>
      <c r="J3035" t="n">
        <v>0.1531</v>
      </c>
      <c r="K3035" t="n">
        <v>0.062</v>
      </c>
      <c r="L3035" t="n">
        <v>0.848</v>
      </c>
      <c r="M3035" t="n">
        <v>0.089</v>
      </c>
    </row>
    <row r="3036" spans="1:13">
      <c r="A3036" s="1">
        <f>HYPERLINK("http://www.twitter.com/NathanBLawrence/status/889857747939930112", "889857747939930112")</f>
        <v/>
      </c>
      <c r="B3036" s="2" t="n">
        <v>42941.61104166666</v>
      </c>
      <c r="C3036" t="n">
        <v>0</v>
      </c>
      <c r="D3036" t="n">
        <v>0</v>
      </c>
      <c r="E3036" t="s">
        <v>3045</v>
      </c>
      <c r="F3036" t="s"/>
      <c r="G3036" t="s"/>
      <c r="H3036" t="s"/>
      <c r="I3036" t="s"/>
      <c r="J3036" t="n">
        <v>0.8176</v>
      </c>
      <c r="K3036" t="n">
        <v>0</v>
      </c>
      <c r="L3036" t="n">
        <v>0.642</v>
      </c>
      <c r="M3036" t="n">
        <v>0.358</v>
      </c>
    </row>
    <row r="3037" spans="1:13">
      <c r="A3037" s="1">
        <f>HYPERLINK("http://www.twitter.com/NathanBLawrence/status/889847344732262400", "889847344732262400")</f>
        <v/>
      </c>
      <c r="B3037" s="2" t="n">
        <v>42941.58233796297</v>
      </c>
      <c r="C3037" t="n">
        <v>0</v>
      </c>
      <c r="D3037" t="n">
        <v>0</v>
      </c>
      <c r="E3037" t="s">
        <v>3046</v>
      </c>
      <c r="F3037" t="s"/>
      <c r="G3037" t="s"/>
      <c r="H3037" t="s"/>
      <c r="I3037" t="s"/>
      <c r="J3037" t="n">
        <v>0</v>
      </c>
      <c r="K3037" t="n">
        <v>0</v>
      </c>
      <c r="L3037" t="n">
        <v>1</v>
      </c>
      <c r="M3037" t="n">
        <v>0</v>
      </c>
    </row>
    <row r="3038" spans="1:13">
      <c r="A3038" s="1">
        <f>HYPERLINK("http://www.twitter.com/NathanBLawrence/status/889820985452613632", "889820985452613632")</f>
        <v/>
      </c>
      <c r="B3038" s="2" t="n">
        <v>42941.50959490741</v>
      </c>
      <c r="C3038" t="n">
        <v>0</v>
      </c>
      <c r="D3038" t="n">
        <v>793</v>
      </c>
      <c r="E3038" t="s">
        <v>3047</v>
      </c>
      <c r="F3038" t="s"/>
      <c r="G3038" t="s"/>
      <c r="H3038" t="s"/>
      <c r="I3038" t="s"/>
      <c r="J3038" t="n">
        <v>0.4939</v>
      </c>
      <c r="K3038" t="n">
        <v>0</v>
      </c>
      <c r="L3038" t="n">
        <v>0.878</v>
      </c>
      <c r="M3038" t="n">
        <v>0.122</v>
      </c>
    </row>
    <row r="3039" spans="1:13">
      <c r="A3039" s="1">
        <f>HYPERLINK("http://www.twitter.com/NathanBLawrence/status/889692998044459008", "889692998044459008")</f>
        <v/>
      </c>
      <c r="B3039" s="2" t="n">
        <v>42941.15642361111</v>
      </c>
      <c r="C3039" t="n">
        <v>0</v>
      </c>
      <c r="D3039" t="n">
        <v>0</v>
      </c>
      <c r="E3039" t="s">
        <v>3048</v>
      </c>
      <c r="F3039" t="s"/>
      <c r="G3039" t="s"/>
      <c r="H3039" t="s"/>
      <c r="I3039" t="s"/>
      <c r="J3039" t="n">
        <v>0.0772</v>
      </c>
      <c r="K3039" t="n">
        <v>0.082</v>
      </c>
      <c r="L3039" t="n">
        <v>0.824</v>
      </c>
      <c r="M3039" t="n">
        <v>0.094</v>
      </c>
    </row>
    <row r="3040" spans="1:13">
      <c r="A3040" s="1">
        <f>HYPERLINK("http://www.twitter.com/NathanBLawrence/status/889690965069504512", "889690965069504512")</f>
        <v/>
      </c>
      <c r="B3040" s="2" t="n">
        <v>42941.15081018519</v>
      </c>
      <c r="C3040" t="n">
        <v>0</v>
      </c>
      <c r="D3040" t="n">
        <v>0</v>
      </c>
      <c r="E3040" t="s">
        <v>3049</v>
      </c>
      <c r="F3040" t="s"/>
      <c r="G3040" t="s"/>
      <c r="H3040" t="s"/>
      <c r="I3040" t="s"/>
      <c r="J3040" t="n">
        <v>0</v>
      </c>
      <c r="K3040" t="n">
        <v>0</v>
      </c>
      <c r="L3040" t="n">
        <v>1</v>
      </c>
      <c r="M3040" t="n">
        <v>0</v>
      </c>
    </row>
    <row r="3041" spans="1:13">
      <c r="A3041" s="1">
        <f>HYPERLINK("http://www.twitter.com/NathanBLawrence/status/889687271829630978", "889687271829630978")</f>
        <v/>
      </c>
      <c r="B3041" s="2" t="n">
        <v>42941.14061342592</v>
      </c>
      <c r="C3041" t="n">
        <v>0</v>
      </c>
      <c r="D3041" t="n">
        <v>0</v>
      </c>
      <c r="E3041" t="s">
        <v>3050</v>
      </c>
      <c r="F3041" t="s"/>
      <c r="G3041" t="s"/>
      <c r="H3041" t="s"/>
      <c r="I3041" t="s"/>
      <c r="J3041" t="n">
        <v>0.0772</v>
      </c>
      <c r="K3041" t="n">
        <v>0.114</v>
      </c>
      <c r="L3041" t="n">
        <v>0.758</v>
      </c>
      <c r="M3041" t="n">
        <v>0.128</v>
      </c>
    </row>
    <row r="3042" spans="1:13">
      <c r="A3042" s="1">
        <f>HYPERLINK("http://www.twitter.com/NathanBLawrence/status/889684594269847552", "889684594269847552")</f>
        <v/>
      </c>
      <c r="B3042" s="2" t="n">
        <v>42941.13322916667</v>
      </c>
      <c r="C3042" t="n">
        <v>0</v>
      </c>
      <c r="D3042" t="n">
        <v>0</v>
      </c>
      <c r="E3042" t="s">
        <v>3051</v>
      </c>
      <c r="F3042" t="s"/>
      <c r="G3042" t="s"/>
      <c r="H3042" t="s"/>
      <c r="I3042" t="s"/>
      <c r="J3042" t="n">
        <v>0.3818</v>
      </c>
      <c r="K3042" t="n">
        <v>0</v>
      </c>
      <c r="L3042" t="n">
        <v>0.841</v>
      </c>
      <c r="M3042" t="n">
        <v>0.159</v>
      </c>
    </row>
    <row r="3043" spans="1:13">
      <c r="A3043" s="1">
        <f>HYPERLINK("http://www.twitter.com/NathanBLawrence/status/889682664558645252", "889682664558645252")</f>
        <v/>
      </c>
      <c r="B3043" s="2" t="n">
        <v>42941.1279050926</v>
      </c>
      <c r="C3043" t="n">
        <v>0</v>
      </c>
      <c r="D3043" t="n">
        <v>0</v>
      </c>
      <c r="E3043" t="s">
        <v>3052</v>
      </c>
      <c r="F3043" t="s"/>
      <c r="G3043" t="s"/>
      <c r="H3043" t="s"/>
      <c r="I3043" t="s"/>
      <c r="J3043" t="n">
        <v>0</v>
      </c>
      <c r="K3043" t="n">
        <v>0</v>
      </c>
      <c r="L3043" t="n">
        <v>1</v>
      </c>
      <c r="M3043" t="n">
        <v>0</v>
      </c>
    </row>
    <row r="3044" spans="1:13">
      <c r="A3044" s="1">
        <f>HYPERLINK("http://www.twitter.com/NathanBLawrence/status/889679635516194817", "889679635516194817")</f>
        <v/>
      </c>
      <c r="B3044" s="2" t="n">
        <v>42941.11954861111</v>
      </c>
      <c r="C3044" t="n">
        <v>0</v>
      </c>
      <c r="D3044" t="n">
        <v>0</v>
      </c>
      <c r="E3044" t="s">
        <v>3053</v>
      </c>
      <c r="F3044" t="s"/>
      <c r="G3044" t="s"/>
      <c r="H3044" t="s"/>
      <c r="I3044" t="s"/>
      <c r="J3044" t="n">
        <v>0</v>
      </c>
      <c r="K3044" t="n">
        <v>0</v>
      </c>
      <c r="L3044" t="n">
        <v>1</v>
      </c>
      <c r="M3044" t="n">
        <v>0</v>
      </c>
    </row>
    <row r="3045" spans="1:13">
      <c r="A3045" s="1">
        <f>HYPERLINK("http://www.twitter.com/NathanBLawrence/status/889675051955605504", "889675051955605504")</f>
        <v/>
      </c>
      <c r="B3045" s="2" t="n">
        <v>42941.10689814815</v>
      </c>
      <c r="C3045" t="n">
        <v>0</v>
      </c>
      <c r="D3045" t="n">
        <v>1</v>
      </c>
      <c r="E3045" t="s">
        <v>3054</v>
      </c>
      <c r="F3045" t="s"/>
      <c r="G3045" t="s"/>
      <c r="H3045" t="s"/>
      <c r="I3045" t="s"/>
      <c r="J3045" t="n">
        <v>0.6369</v>
      </c>
      <c r="K3045" t="n">
        <v>0</v>
      </c>
      <c r="L3045" t="n">
        <v>0.625</v>
      </c>
      <c r="M3045" t="n">
        <v>0.375</v>
      </c>
    </row>
    <row r="3046" spans="1:13">
      <c r="A3046" s="1">
        <f>HYPERLINK("http://www.twitter.com/NathanBLawrence/status/889673699430944768", "889673699430944768")</f>
        <v/>
      </c>
      <c r="B3046" s="2" t="n">
        <v>42941.10315972222</v>
      </c>
      <c r="C3046" t="n">
        <v>0</v>
      </c>
      <c r="D3046" t="n">
        <v>0</v>
      </c>
      <c r="E3046" t="s">
        <v>3055</v>
      </c>
      <c r="F3046" t="s"/>
      <c r="G3046" t="s"/>
      <c r="H3046" t="s"/>
      <c r="I3046" t="s"/>
      <c r="J3046" t="n">
        <v>0.891</v>
      </c>
      <c r="K3046" t="n">
        <v>0</v>
      </c>
      <c r="L3046" t="n">
        <v>0.588</v>
      </c>
      <c r="M3046" t="n">
        <v>0.412</v>
      </c>
    </row>
    <row r="3047" spans="1:13">
      <c r="A3047" s="1">
        <f>HYPERLINK("http://www.twitter.com/NathanBLawrence/status/889672761597206529", "889672761597206529")</f>
        <v/>
      </c>
      <c r="B3047" s="2" t="n">
        <v>42941.10057870371</v>
      </c>
      <c r="C3047" t="n">
        <v>0</v>
      </c>
      <c r="D3047" t="n">
        <v>0</v>
      </c>
      <c r="E3047" t="s">
        <v>3056</v>
      </c>
      <c r="F3047" t="s"/>
      <c r="G3047" t="s"/>
      <c r="H3047" t="s"/>
      <c r="I3047" t="s"/>
      <c r="J3047" t="n">
        <v>0.6369</v>
      </c>
      <c r="K3047" t="n">
        <v>0</v>
      </c>
      <c r="L3047" t="n">
        <v>0.724</v>
      </c>
      <c r="M3047" t="n">
        <v>0.276</v>
      </c>
    </row>
    <row r="3048" spans="1:13">
      <c r="A3048" s="1">
        <f>HYPERLINK("http://www.twitter.com/NathanBLawrence/status/889671556699500548", "889671556699500548")</f>
        <v/>
      </c>
      <c r="B3048" s="2" t="n">
        <v>42941.09725694444</v>
      </c>
      <c r="C3048" t="n">
        <v>1</v>
      </c>
      <c r="D3048" t="n">
        <v>0</v>
      </c>
      <c r="E3048" t="s">
        <v>3057</v>
      </c>
      <c r="F3048" t="s"/>
      <c r="G3048" t="s"/>
      <c r="H3048" t="s"/>
      <c r="I3048" t="s"/>
      <c r="J3048" t="n">
        <v>0.5266999999999999</v>
      </c>
      <c r="K3048" t="n">
        <v>0.097</v>
      </c>
      <c r="L3048" t="n">
        <v>0.6830000000000001</v>
      </c>
      <c r="M3048" t="n">
        <v>0.219</v>
      </c>
    </row>
    <row r="3049" spans="1:13">
      <c r="A3049" s="1">
        <f>HYPERLINK("http://www.twitter.com/NathanBLawrence/status/889493531294928896", "889493531294928896")</f>
        <v/>
      </c>
      <c r="B3049" s="2" t="n">
        <v>42940.60599537037</v>
      </c>
      <c r="C3049" t="n">
        <v>0</v>
      </c>
      <c r="D3049" t="n">
        <v>0</v>
      </c>
      <c r="E3049" t="s">
        <v>3058</v>
      </c>
      <c r="F3049" t="s"/>
      <c r="G3049" t="s"/>
      <c r="H3049" t="s"/>
      <c r="I3049" t="s"/>
      <c r="J3049" t="n">
        <v>0</v>
      </c>
      <c r="K3049" t="n">
        <v>0</v>
      </c>
      <c r="L3049" t="n">
        <v>1</v>
      </c>
      <c r="M3049" t="n">
        <v>0</v>
      </c>
    </row>
    <row r="3050" spans="1:13">
      <c r="A3050" s="1">
        <f>HYPERLINK("http://www.twitter.com/NathanBLawrence/status/889482549705265152", "889482549705265152")</f>
        <v/>
      </c>
      <c r="B3050" s="2" t="n">
        <v>42940.57569444444</v>
      </c>
      <c r="C3050" t="n">
        <v>0</v>
      </c>
      <c r="D3050" t="n">
        <v>20182</v>
      </c>
      <c r="E3050" t="s">
        <v>3059</v>
      </c>
      <c r="F3050" t="s"/>
      <c r="G3050" t="s"/>
      <c r="H3050" t="s"/>
      <c r="I3050" t="s"/>
      <c r="J3050" t="n">
        <v>-0.3384</v>
      </c>
      <c r="K3050" t="n">
        <v>0.112</v>
      </c>
      <c r="L3050" t="n">
        <v>0.888</v>
      </c>
      <c r="M3050" t="n">
        <v>0</v>
      </c>
    </row>
    <row r="3051" spans="1:13">
      <c r="A3051" s="1">
        <f>HYPERLINK("http://www.twitter.com/NathanBLawrence/status/889270016968937472", "889270016968937472")</f>
        <v/>
      </c>
      <c r="B3051" s="2" t="n">
        <v>42939.98921296297</v>
      </c>
      <c r="C3051" t="n">
        <v>0</v>
      </c>
      <c r="D3051" t="n">
        <v>0</v>
      </c>
      <c r="E3051" t="s">
        <v>3060</v>
      </c>
      <c r="F3051" t="s"/>
      <c r="G3051" t="s"/>
      <c r="H3051" t="s"/>
      <c r="I3051" t="s"/>
      <c r="J3051" t="n">
        <v>0</v>
      </c>
      <c r="K3051" t="n">
        <v>0</v>
      </c>
      <c r="L3051" t="n">
        <v>1</v>
      </c>
      <c r="M3051" t="n">
        <v>0</v>
      </c>
    </row>
    <row r="3052" spans="1:13">
      <c r="A3052" s="1">
        <f>HYPERLINK("http://www.twitter.com/NathanBLawrence/status/889220655610310657", "889220655610310657")</f>
        <v/>
      </c>
      <c r="B3052" s="2" t="n">
        <v>42939.85299768519</v>
      </c>
      <c r="C3052" t="n">
        <v>0</v>
      </c>
      <c r="D3052" t="n">
        <v>0</v>
      </c>
      <c r="E3052" t="s">
        <v>3061</v>
      </c>
      <c r="F3052">
        <f>HYPERLINK("http://pbs.twimg.com/media/DFcldVfXcAIJ6YC.jpg", "http://pbs.twimg.com/media/DFcldVfXcAIJ6YC.jpg")</f>
        <v/>
      </c>
      <c r="G3052" t="s"/>
      <c r="H3052" t="s"/>
      <c r="I3052" t="s"/>
      <c r="J3052" t="n">
        <v>0.4404</v>
      </c>
      <c r="K3052" t="n">
        <v>0</v>
      </c>
      <c r="L3052" t="n">
        <v>0.734</v>
      </c>
      <c r="M3052" t="n">
        <v>0.266</v>
      </c>
    </row>
    <row r="3053" spans="1:13">
      <c r="A3053" s="1">
        <f>HYPERLINK("http://www.twitter.com/NathanBLawrence/status/888767793008713729", "888767793008713729")</f>
        <v/>
      </c>
      <c r="B3053" s="2" t="n">
        <v>42938.60334490741</v>
      </c>
      <c r="C3053" t="n">
        <v>0</v>
      </c>
      <c r="D3053" t="n">
        <v>0</v>
      </c>
      <c r="E3053" t="s">
        <v>3062</v>
      </c>
      <c r="F3053" t="s"/>
      <c r="G3053" t="s"/>
      <c r="H3053" t="s"/>
      <c r="I3053" t="s"/>
      <c r="J3053" t="n">
        <v>0.3612</v>
      </c>
      <c r="K3053" t="n">
        <v>0</v>
      </c>
      <c r="L3053" t="n">
        <v>0.783</v>
      </c>
      <c r="M3053" t="n">
        <v>0.217</v>
      </c>
    </row>
    <row r="3054" spans="1:13">
      <c r="A3054" s="1">
        <f>HYPERLINK("http://www.twitter.com/NathanBLawrence/status/888574474685120512", "888574474685120512")</f>
        <v/>
      </c>
      <c r="B3054" s="2" t="n">
        <v>42938.06988425926</v>
      </c>
      <c r="C3054" t="n">
        <v>0</v>
      </c>
      <c r="D3054" t="n">
        <v>0</v>
      </c>
      <c r="E3054" t="s">
        <v>3063</v>
      </c>
      <c r="F3054" t="s"/>
      <c r="G3054" t="s"/>
      <c r="H3054" t="s"/>
      <c r="I3054" t="s"/>
      <c r="J3054" t="n">
        <v>0.3412</v>
      </c>
      <c r="K3054" t="n">
        <v>0</v>
      </c>
      <c r="L3054" t="n">
        <v>0.789</v>
      </c>
      <c r="M3054" t="n">
        <v>0.211</v>
      </c>
    </row>
    <row r="3055" spans="1:13">
      <c r="A3055" s="1">
        <f>HYPERLINK("http://www.twitter.com/NathanBLawrence/status/888572196431560704", "888572196431560704")</f>
        <v/>
      </c>
      <c r="B3055" s="2" t="n">
        <v>42938.06359953704</v>
      </c>
      <c r="C3055" t="n">
        <v>0</v>
      </c>
      <c r="D3055" t="n">
        <v>0</v>
      </c>
      <c r="E3055" t="s">
        <v>3064</v>
      </c>
      <c r="F3055" t="s"/>
      <c r="G3055" t="s"/>
      <c r="H3055" t="s"/>
      <c r="I3055" t="s"/>
      <c r="J3055" t="n">
        <v>0</v>
      </c>
      <c r="K3055" t="n">
        <v>0</v>
      </c>
      <c r="L3055" t="n">
        <v>1</v>
      </c>
      <c r="M3055" t="n">
        <v>0</v>
      </c>
    </row>
    <row r="3056" spans="1:13">
      <c r="A3056" s="1">
        <f>HYPERLINK("http://www.twitter.com/NathanBLawrence/status/888443594251677696", "888443594251677696")</f>
        <v/>
      </c>
      <c r="B3056" s="2" t="n">
        <v>42937.70872685185</v>
      </c>
      <c r="C3056" t="n">
        <v>0</v>
      </c>
      <c r="D3056" t="n">
        <v>0</v>
      </c>
      <c r="E3056" t="s">
        <v>3065</v>
      </c>
      <c r="F3056">
        <f>HYPERLINK("http://pbs.twimg.com/media/DFRivHRUQAAB6mi.jpg", "http://pbs.twimg.com/media/DFRivHRUQAAB6mi.jpg")</f>
        <v/>
      </c>
      <c r="G3056" t="s"/>
      <c r="H3056" t="s"/>
      <c r="I3056" t="s"/>
      <c r="J3056" t="n">
        <v>0</v>
      </c>
      <c r="K3056" t="n">
        <v>0</v>
      </c>
      <c r="L3056" t="n">
        <v>1</v>
      </c>
      <c r="M3056" t="n">
        <v>0</v>
      </c>
    </row>
    <row r="3057" spans="1:13">
      <c r="A3057" s="1">
        <f>HYPERLINK("http://www.twitter.com/NathanBLawrence/status/888441186930896897", "888441186930896897")</f>
        <v/>
      </c>
      <c r="B3057" s="2" t="n">
        <v>42937.70208333333</v>
      </c>
      <c r="C3057" t="n">
        <v>0</v>
      </c>
      <c r="D3057" t="n">
        <v>0</v>
      </c>
      <c r="E3057" t="s">
        <v>3066</v>
      </c>
      <c r="F3057" t="s"/>
      <c r="G3057" t="s"/>
      <c r="H3057" t="s"/>
      <c r="I3057" t="s"/>
      <c r="J3057" t="n">
        <v>0.5994</v>
      </c>
      <c r="K3057" t="n">
        <v>0</v>
      </c>
      <c r="L3057" t="n">
        <v>0.86</v>
      </c>
      <c r="M3057" t="n">
        <v>0.14</v>
      </c>
    </row>
    <row r="3058" spans="1:13">
      <c r="A3058" s="1">
        <f>HYPERLINK("http://www.twitter.com/NathanBLawrence/status/888428392248487936", "888428392248487936")</f>
        <v/>
      </c>
      <c r="B3058" s="2" t="n">
        <v>42937.66677083333</v>
      </c>
      <c r="C3058" t="n">
        <v>0</v>
      </c>
      <c r="D3058" t="n">
        <v>0</v>
      </c>
      <c r="E3058" t="s">
        <v>3067</v>
      </c>
      <c r="F3058" t="s"/>
      <c r="G3058" t="s"/>
      <c r="H3058" t="s"/>
      <c r="I3058" t="s"/>
      <c r="J3058" t="n">
        <v>0</v>
      </c>
      <c r="K3058" t="n">
        <v>0</v>
      </c>
      <c r="L3058" t="n">
        <v>1</v>
      </c>
      <c r="M3058" t="n">
        <v>0</v>
      </c>
    </row>
    <row r="3059" spans="1:13">
      <c r="A3059" s="1">
        <f>HYPERLINK("http://www.twitter.com/NathanBLawrence/status/888407728032448517", "888407728032448517")</f>
        <v/>
      </c>
      <c r="B3059" s="2" t="n">
        <v>42937.60974537037</v>
      </c>
      <c r="C3059" t="n">
        <v>0</v>
      </c>
      <c r="D3059" t="n">
        <v>0</v>
      </c>
      <c r="E3059" t="s">
        <v>3068</v>
      </c>
      <c r="F3059">
        <f>HYPERLINK("http://pbs.twimg.com/media/DFRCHemXUAAYbfi.jpg", "http://pbs.twimg.com/media/DFRCHemXUAAYbfi.jpg")</f>
        <v/>
      </c>
      <c r="G3059" t="s"/>
      <c r="H3059" t="s"/>
      <c r="I3059" t="s"/>
      <c r="J3059" t="n">
        <v>0</v>
      </c>
      <c r="K3059" t="n">
        <v>0</v>
      </c>
      <c r="L3059" t="n">
        <v>1</v>
      </c>
      <c r="M3059" t="n">
        <v>0</v>
      </c>
    </row>
    <row r="3060" spans="1:13">
      <c r="A3060" s="1">
        <f>HYPERLINK("http://www.twitter.com/NathanBLawrence/status/888233380311162880", "888233380311162880")</f>
        <v/>
      </c>
      <c r="B3060" s="2" t="n">
        <v>42937.12864583333</v>
      </c>
      <c r="C3060" t="n">
        <v>0</v>
      </c>
      <c r="D3060" t="n">
        <v>0</v>
      </c>
      <c r="E3060" t="s">
        <v>3069</v>
      </c>
      <c r="F3060" t="s"/>
      <c r="G3060" t="s"/>
      <c r="H3060" t="s"/>
      <c r="I3060" t="s"/>
      <c r="J3060" t="n">
        <v>0</v>
      </c>
      <c r="K3060" t="n">
        <v>0</v>
      </c>
      <c r="L3060" t="n">
        <v>1</v>
      </c>
      <c r="M3060" t="n">
        <v>0</v>
      </c>
    </row>
    <row r="3061" spans="1:13">
      <c r="A3061" s="1">
        <f>HYPERLINK("http://www.twitter.com/NathanBLawrence/status/888229976583135232", "888229976583135232")</f>
        <v/>
      </c>
      <c r="B3061" s="2" t="n">
        <v>42937.11924768519</v>
      </c>
      <c r="C3061" t="n">
        <v>2</v>
      </c>
      <c r="D3061" t="n">
        <v>0</v>
      </c>
      <c r="E3061" t="s">
        <v>3070</v>
      </c>
      <c r="F3061" t="s"/>
      <c r="G3061" t="s"/>
      <c r="H3061" t="s"/>
      <c r="I3061" t="s"/>
      <c r="J3061" t="n">
        <v>0</v>
      </c>
      <c r="K3061" t="n">
        <v>0</v>
      </c>
      <c r="L3061" t="n">
        <v>1</v>
      </c>
      <c r="M3061" t="n">
        <v>0</v>
      </c>
    </row>
    <row r="3062" spans="1:13">
      <c r="A3062" s="1">
        <f>HYPERLINK("http://www.twitter.com/NathanBLawrence/status/888223011559682048", "888223011559682048")</f>
        <v/>
      </c>
      <c r="B3062" s="2" t="n">
        <v>42937.10002314814</v>
      </c>
      <c r="C3062" t="n">
        <v>0</v>
      </c>
      <c r="D3062" t="n">
        <v>0</v>
      </c>
      <c r="E3062" t="s">
        <v>3071</v>
      </c>
      <c r="F3062" t="s"/>
      <c r="G3062" t="s"/>
      <c r="H3062" t="s"/>
      <c r="I3062" t="s"/>
      <c r="J3062" t="n">
        <v>0</v>
      </c>
      <c r="K3062" t="n">
        <v>0</v>
      </c>
      <c r="L3062" t="n">
        <v>1</v>
      </c>
      <c r="M3062" t="n">
        <v>0</v>
      </c>
    </row>
    <row r="3063" spans="1:13">
      <c r="A3063" s="1">
        <f>HYPERLINK("http://www.twitter.com/NathanBLawrence/status/888222238440345600", "888222238440345600")</f>
        <v/>
      </c>
      <c r="B3063" s="2" t="n">
        <v>42937.09789351852</v>
      </c>
      <c r="C3063" t="n">
        <v>0</v>
      </c>
      <c r="D3063" t="n">
        <v>0</v>
      </c>
      <c r="E3063" t="s">
        <v>3072</v>
      </c>
      <c r="F3063" t="s"/>
      <c r="G3063" t="s"/>
      <c r="H3063" t="s"/>
      <c r="I3063" t="s"/>
      <c r="J3063" t="n">
        <v>0.3612</v>
      </c>
      <c r="K3063" t="n">
        <v>0</v>
      </c>
      <c r="L3063" t="n">
        <v>0.839</v>
      </c>
      <c r="M3063" t="n">
        <v>0.161</v>
      </c>
    </row>
    <row r="3064" spans="1:13">
      <c r="A3064" s="1">
        <f>HYPERLINK("http://www.twitter.com/NathanBLawrence/status/888119956059021313", "888119956059021313")</f>
        <v/>
      </c>
      <c r="B3064" s="2" t="n">
        <v>42936.81564814815</v>
      </c>
      <c r="C3064" t="n">
        <v>0</v>
      </c>
      <c r="D3064" t="n">
        <v>0</v>
      </c>
      <c r="E3064" t="s">
        <v>3073</v>
      </c>
      <c r="F3064" t="s"/>
      <c r="G3064" t="s"/>
      <c r="H3064" t="s"/>
      <c r="I3064" t="s"/>
      <c r="J3064" t="n">
        <v>0</v>
      </c>
      <c r="K3064" t="n">
        <v>0</v>
      </c>
      <c r="L3064" t="n">
        <v>1</v>
      </c>
      <c r="M3064" t="n">
        <v>0</v>
      </c>
    </row>
    <row r="3065" spans="1:13">
      <c r="A3065" s="1">
        <f>HYPERLINK("http://www.twitter.com/NathanBLawrence/status/888116078055899137", "888116078055899137")</f>
        <v/>
      </c>
      <c r="B3065" s="2" t="n">
        <v>42936.8049537037</v>
      </c>
      <c r="C3065" t="n">
        <v>0</v>
      </c>
      <c r="D3065" t="n">
        <v>0</v>
      </c>
      <c r="E3065" t="s">
        <v>3074</v>
      </c>
      <c r="F3065" t="s"/>
      <c r="G3065" t="s"/>
      <c r="H3065" t="s"/>
      <c r="I3065" t="s"/>
      <c r="J3065" t="n">
        <v>0</v>
      </c>
      <c r="K3065" t="n">
        <v>0</v>
      </c>
      <c r="L3065" t="n">
        <v>1</v>
      </c>
      <c r="M3065" t="n">
        <v>0</v>
      </c>
    </row>
    <row r="3066" spans="1:13">
      <c r="A3066" s="1">
        <f>HYPERLINK("http://www.twitter.com/NathanBLawrence/status/888034581072556032", "888034581072556032")</f>
        <v/>
      </c>
      <c r="B3066" s="2" t="n">
        <v>42936.58005787037</v>
      </c>
      <c r="C3066" t="n">
        <v>0</v>
      </c>
      <c r="D3066" t="n">
        <v>0</v>
      </c>
      <c r="E3066" t="s">
        <v>3075</v>
      </c>
      <c r="F3066" t="s"/>
      <c r="G3066" t="s"/>
      <c r="H3066" t="s"/>
      <c r="I3066" t="s"/>
      <c r="J3066" t="n">
        <v>0</v>
      </c>
      <c r="K3066" t="n">
        <v>0</v>
      </c>
      <c r="L3066" t="n">
        <v>1</v>
      </c>
      <c r="M3066" t="n">
        <v>0</v>
      </c>
    </row>
    <row r="3067" spans="1:13">
      <c r="A3067" s="1">
        <f>HYPERLINK("http://www.twitter.com/NathanBLawrence/status/888008721078640641", "888008721078640641")</f>
        <v/>
      </c>
      <c r="B3067" s="2" t="n">
        <v>42936.5087037037</v>
      </c>
      <c r="C3067" t="n">
        <v>0</v>
      </c>
      <c r="D3067" t="n">
        <v>0</v>
      </c>
      <c r="E3067" t="s">
        <v>3076</v>
      </c>
      <c r="F3067" t="s"/>
      <c r="G3067" t="s"/>
      <c r="H3067" t="s"/>
      <c r="I3067" t="s"/>
      <c r="J3067" t="n">
        <v>0</v>
      </c>
      <c r="K3067" t="n">
        <v>0</v>
      </c>
      <c r="L3067" t="n">
        <v>1</v>
      </c>
      <c r="M3067" t="n">
        <v>0</v>
      </c>
    </row>
    <row r="3068" spans="1:13">
      <c r="A3068" s="1">
        <f>HYPERLINK("http://www.twitter.com/NathanBLawrence/status/887867571348717568", "887867571348717568")</f>
        <v/>
      </c>
      <c r="B3068" s="2" t="n">
        <v>42936.11920138889</v>
      </c>
      <c r="C3068" t="n">
        <v>0</v>
      </c>
      <c r="D3068" t="n">
        <v>0</v>
      </c>
      <c r="E3068" t="s">
        <v>3077</v>
      </c>
      <c r="F3068" t="s"/>
      <c r="G3068" t="s"/>
      <c r="H3068" t="s"/>
      <c r="I3068" t="s"/>
      <c r="J3068" t="n">
        <v>-0.296</v>
      </c>
      <c r="K3068" t="n">
        <v>0.268</v>
      </c>
      <c r="L3068" t="n">
        <v>0.732</v>
      </c>
      <c r="M3068" t="n">
        <v>0</v>
      </c>
    </row>
    <row r="3069" spans="1:13">
      <c r="A3069" s="1">
        <f>HYPERLINK("http://www.twitter.com/NathanBLawrence/status/887829970365681665", "887829970365681665")</f>
        <v/>
      </c>
      <c r="B3069" s="2" t="n">
        <v>42936.01543981482</v>
      </c>
      <c r="C3069" t="n">
        <v>0</v>
      </c>
      <c r="D3069" t="n">
        <v>0</v>
      </c>
      <c r="E3069" t="s">
        <v>3078</v>
      </c>
      <c r="F3069" t="s"/>
      <c r="G3069" t="s"/>
      <c r="H3069" t="s"/>
      <c r="I3069" t="s"/>
      <c r="J3069" t="n">
        <v>-0.25</v>
      </c>
      <c r="K3069" t="n">
        <v>0.091</v>
      </c>
      <c r="L3069" t="n">
        <v>0.909</v>
      </c>
      <c r="M3069" t="n">
        <v>0</v>
      </c>
    </row>
    <row r="3070" spans="1:13">
      <c r="A3070" s="1">
        <f>HYPERLINK("http://www.twitter.com/NathanBLawrence/status/887829177419923457", "887829177419923457")</f>
        <v/>
      </c>
      <c r="B3070" s="2" t="n">
        <v>42936.01325231481</v>
      </c>
      <c r="C3070" t="n">
        <v>0</v>
      </c>
      <c r="D3070" t="n">
        <v>0</v>
      </c>
      <c r="E3070" t="s">
        <v>3079</v>
      </c>
      <c r="F3070" t="s"/>
      <c r="G3070" t="s"/>
      <c r="H3070" t="s"/>
      <c r="I3070" t="s"/>
      <c r="J3070" t="n">
        <v>0</v>
      </c>
      <c r="K3070" t="n">
        <v>0</v>
      </c>
      <c r="L3070" t="n">
        <v>1</v>
      </c>
      <c r="M3070" t="n">
        <v>0</v>
      </c>
    </row>
    <row r="3071" spans="1:13">
      <c r="A3071" s="1">
        <f>HYPERLINK("http://www.twitter.com/NathanBLawrence/status/887828834011275264", "887828834011275264")</f>
        <v/>
      </c>
      <c r="B3071" s="2" t="n">
        <v>42936.01230324074</v>
      </c>
      <c r="C3071" t="n">
        <v>0</v>
      </c>
      <c r="D3071" t="n">
        <v>0</v>
      </c>
      <c r="E3071" t="s">
        <v>3080</v>
      </c>
      <c r="F3071" t="s"/>
      <c r="G3071" t="s"/>
      <c r="H3071" t="s"/>
      <c r="I3071" t="s"/>
      <c r="J3071" t="n">
        <v>0</v>
      </c>
      <c r="K3071" t="n">
        <v>0</v>
      </c>
      <c r="L3071" t="n">
        <v>1</v>
      </c>
      <c r="M3071" t="n">
        <v>0</v>
      </c>
    </row>
    <row r="3072" spans="1:13">
      <c r="A3072" s="1">
        <f>HYPERLINK("http://www.twitter.com/NathanBLawrence/status/887731680177532929", "887731680177532929")</f>
        <v/>
      </c>
      <c r="B3072" s="2" t="n">
        <v>42935.74421296296</v>
      </c>
      <c r="C3072" t="n">
        <v>0</v>
      </c>
      <c r="D3072" t="n">
        <v>0</v>
      </c>
      <c r="E3072" t="s">
        <v>3081</v>
      </c>
      <c r="F3072" t="s"/>
      <c r="G3072" t="s"/>
      <c r="H3072" t="s"/>
      <c r="I3072" t="s"/>
      <c r="J3072" t="n">
        <v>0</v>
      </c>
      <c r="K3072" t="n">
        <v>0</v>
      </c>
      <c r="L3072" t="n">
        <v>1</v>
      </c>
      <c r="M3072" t="n">
        <v>0</v>
      </c>
    </row>
    <row r="3073" spans="1:13">
      <c r="A3073" s="1">
        <f>HYPERLINK("http://www.twitter.com/NathanBLawrence/status/887697427163217929", "887697427163217929")</f>
        <v/>
      </c>
      <c r="B3073" s="2" t="n">
        <v>42935.6496875</v>
      </c>
      <c r="C3073" t="n">
        <v>0</v>
      </c>
      <c r="D3073" t="n">
        <v>0</v>
      </c>
      <c r="E3073" t="s">
        <v>3082</v>
      </c>
      <c r="F3073" t="s"/>
      <c r="G3073" t="s"/>
      <c r="H3073" t="s"/>
      <c r="I3073" t="s"/>
      <c r="J3073" t="n">
        <v>0.3818</v>
      </c>
      <c r="K3073" t="n">
        <v>0</v>
      </c>
      <c r="L3073" t="n">
        <v>0.833</v>
      </c>
      <c r="M3073" t="n">
        <v>0.167</v>
      </c>
    </row>
    <row r="3074" spans="1:13">
      <c r="A3074" s="1">
        <f>HYPERLINK("http://www.twitter.com/NathanBLawrence/status/887695476962676736", "887695476962676736")</f>
        <v/>
      </c>
      <c r="B3074" s="2" t="n">
        <v>42935.64430555556</v>
      </c>
      <c r="C3074" t="n">
        <v>0</v>
      </c>
      <c r="D3074" t="n">
        <v>0</v>
      </c>
      <c r="E3074" t="s">
        <v>3083</v>
      </c>
      <c r="F3074" t="s"/>
      <c r="G3074" t="s"/>
      <c r="H3074" t="s"/>
      <c r="I3074" t="s"/>
      <c r="J3074" t="n">
        <v>-0.5951</v>
      </c>
      <c r="K3074" t="n">
        <v>0.244</v>
      </c>
      <c r="L3074" t="n">
        <v>0.756</v>
      </c>
      <c r="M3074" t="n">
        <v>0</v>
      </c>
    </row>
    <row r="3075" spans="1:13">
      <c r="A3075" s="1">
        <f>HYPERLINK("http://www.twitter.com/NathanBLawrence/status/887674425272934400", "887674425272934400")</f>
        <v/>
      </c>
      <c r="B3075" s="2" t="n">
        <v>42935.58621527778</v>
      </c>
      <c r="C3075" t="n">
        <v>0</v>
      </c>
      <c r="D3075" t="n">
        <v>0</v>
      </c>
      <c r="E3075" t="s">
        <v>3084</v>
      </c>
      <c r="F3075" t="s"/>
      <c r="G3075" t="s"/>
      <c r="H3075" t="s"/>
      <c r="I3075" t="s"/>
      <c r="J3075" t="n">
        <v>-0.5574</v>
      </c>
      <c r="K3075" t="n">
        <v>0.264</v>
      </c>
      <c r="L3075" t="n">
        <v>0.591</v>
      </c>
      <c r="M3075" t="n">
        <v>0.145</v>
      </c>
    </row>
    <row r="3076" spans="1:13">
      <c r="A3076" s="1">
        <f>HYPERLINK("http://www.twitter.com/NathanBLawrence/status/887673526962008064", "887673526962008064")</f>
        <v/>
      </c>
      <c r="B3076" s="2" t="n">
        <v>42935.58373842593</v>
      </c>
      <c r="C3076" t="n">
        <v>0</v>
      </c>
      <c r="D3076" t="n">
        <v>618</v>
      </c>
      <c r="E3076" t="s">
        <v>3085</v>
      </c>
      <c r="F3076" t="s"/>
      <c r="G3076" t="s"/>
      <c r="H3076" t="s"/>
      <c r="I3076" t="s"/>
      <c r="J3076" t="n">
        <v>-0.6597</v>
      </c>
      <c r="K3076" t="n">
        <v>0.162</v>
      </c>
      <c r="L3076" t="n">
        <v>0.838</v>
      </c>
      <c r="M3076" t="n">
        <v>0</v>
      </c>
    </row>
    <row r="3077" spans="1:13">
      <c r="A3077" s="1">
        <f>HYPERLINK("http://www.twitter.com/NathanBLawrence/status/887672347607609345", "887672347607609345")</f>
        <v/>
      </c>
      <c r="B3077" s="2" t="n">
        <v>42935.58048611111</v>
      </c>
      <c r="C3077" t="n">
        <v>0</v>
      </c>
      <c r="D3077" t="n">
        <v>0</v>
      </c>
      <c r="E3077" t="s">
        <v>3086</v>
      </c>
      <c r="F3077" t="s"/>
      <c r="G3077" t="s"/>
      <c r="H3077" t="s"/>
      <c r="I3077" t="s"/>
      <c r="J3077" t="n">
        <v>-0.5423</v>
      </c>
      <c r="K3077" t="n">
        <v>0.189</v>
      </c>
      <c r="L3077" t="n">
        <v>0.8110000000000001</v>
      </c>
      <c r="M3077" t="n">
        <v>0</v>
      </c>
    </row>
    <row r="3078" spans="1:13">
      <c r="A3078" s="1">
        <f>HYPERLINK("http://www.twitter.com/NathanBLawrence/status/887459279304839168", "887459279304839168")</f>
        <v/>
      </c>
      <c r="B3078" s="2" t="n">
        <v>42934.99253472222</v>
      </c>
      <c r="C3078" t="n">
        <v>0</v>
      </c>
      <c r="D3078" t="n">
        <v>0</v>
      </c>
      <c r="E3078" t="s">
        <v>3087</v>
      </c>
      <c r="F3078" t="s"/>
      <c r="G3078" t="s"/>
      <c r="H3078" t="s"/>
      <c r="I3078" t="s"/>
      <c r="J3078" t="n">
        <v>0</v>
      </c>
      <c r="K3078" t="n">
        <v>0</v>
      </c>
      <c r="L3078" t="n">
        <v>1</v>
      </c>
      <c r="M3078" t="n">
        <v>0</v>
      </c>
    </row>
    <row r="3079" spans="1:13">
      <c r="A3079" s="1">
        <f>HYPERLINK("http://www.twitter.com/NathanBLawrence/status/887457997504557056", "887457997504557056")</f>
        <v/>
      </c>
      <c r="B3079" s="2" t="n">
        <v>42934.98899305556</v>
      </c>
      <c r="C3079" t="n">
        <v>0</v>
      </c>
      <c r="D3079" t="n">
        <v>3</v>
      </c>
      <c r="E3079" t="s">
        <v>3088</v>
      </c>
      <c r="F3079" t="s"/>
      <c r="G3079" t="s"/>
      <c r="H3079" t="s"/>
      <c r="I3079" t="s"/>
      <c r="J3079" t="n">
        <v>-0.0258</v>
      </c>
      <c r="K3079" t="n">
        <v>0.219</v>
      </c>
      <c r="L3079" t="n">
        <v>0.5639999999999999</v>
      </c>
      <c r="M3079" t="n">
        <v>0.216</v>
      </c>
    </row>
    <row r="3080" spans="1:13">
      <c r="A3080" s="1">
        <f>HYPERLINK("http://www.twitter.com/NathanBLawrence/status/887457043858280448", "887457043858280448")</f>
        <v/>
      </c>
      <c r="B3080" s="2" t="n">
        <v>42934.98636574074</v>
      </c>
      <c r="C3080" t="n">
        <v>1</v>
      </c>
      <c r="D3080" t="n">
        <v>0</v>
      </c>
      <c r="E3080" t="s">
        <v>3089</v>
      </c>
      <c r="F3080">
        <f>HYPERLINK("http://pbs.twimg.com/media/DFDheTzUQAAoZn7.jpg", "http://pbs.twimg.com/media/DFDheTzUQAAoZn7.jpg")</f>
        <v/>
      </c>
      <c r="G3080" t="s"/>
      <c r="H3080" t="s"/>
      <c r="I3080" t="s"/>
      <c r="J3080" t="n">
        <v>0</v>
      </c>
      <c r="K3080" t="n">
        <v>0</v>
      </c>
      <c r="L3080" t="n">
        <v>1</v>
      </c>
      <c r="M3080" t="n">
        <v>0</v>
      </c>
    </row>
    <row r="3081" spans="1:13">
      <c r="A3081" s="1">
        <f>HYPERLINK("http://www.twitter.com/NathanBLawrence/status/887456722486525953", "887456722486525953")</f>
        <v/>
      </c>
      <c r="B3081" s="2" t="n">
        <v>42934.98547453704</v>
      </c>
      <c r="C3081" t="n">
        <v>0</v>
      </c>
      <c r="D3081" t="n">
        <v>0</v>
      </c>
      <c r="E3081" t="s">
        <v>3090</v>
      </c>
      <c r="F3081">
        <f>HYPERLINK("http://pbs.twimg.com/media/DFDhLW2UMAIQ1_0.jpg", "http://pbs.twimg.com/media/DFDhLW2UMAIQ1_0.jpg")</f>
        <v/>
      </c>
      <c r="G3081" t="s"/>
      <c r="H3081" t="s"/>
      <c r="I3081" t="s"/>
      <c r="J3081" t="n">
        <v>0</v>
      </c>
      <c r="K3081" t="n">
        <v>0</v>
      </c>
      <c r="L3081" t="n">
        <v>1</v>
      </c>
      <c r="M3081" t="n">
        <v>0</v>
      </c>
    </row>
    <row r="3082" spans="1:13">
      <c r="A3082" s="1">
        <f>HYPERLINK("http://www.twitter.com/NathanBLawrence/status/887396544873451521", "887396544873451521")</f>
        <v/>
      </c>
      <c r="B3082" s="2" t="n">
        <v>42934.81940972222</v>
      </c>
      <c r="C3082" t="n">
        <v>1</v>
      </c>
      <c r="D3082" t="n">
        <v>0</v>
      </c>
      <c r="E3082" t="s">
        <v>3091</v>
      </c>
      <c r="F3082" t="s"/>
      <c r="G3082" t="s"/>
      <c r="H3082" t="s"/>
      <c r="I3082" t="s"/>
      <c r="J3082" t="n">
        <v>0.0258</v>
      </c>
      <c r="K3082" t="n">
        <v>0.077</v>
      </c>
      <c r="L3082" t="n">
        <v>0.842</v>
      </c>
      <c r="M3082" t="n">
        <v>0.081</v>
      </c>
    </row>
    <row r="3083" spans="1:13">
      <c r="A3083" s="1">
        <f>HYPERLINK("http://www.twitter.com/NathanBLawrence/status/887361752203231232", "887361752203231232")</f>
        <v/>
      </c>
      <c r="B3083" s="2" t="n">
        <v>42934.72340277778</v>
      </c>
      <c r="C3083" t="n">
        <v>0</v>
      </c>
      <c r="D3083" t="n">
        <v>0</v>
      </c>
      <c r="E3083" t="s">
        <v>3092</v>
      </c>
      <c r="F3083" t="s"/>
      <c r="G3083" t="s"/>
      <c r="H3083" t="s"/>
      <c r="I3083" t="s"/>
      <c r="J3083" t="n">
        <v>-0.296</v>
      </c>
      <c r="K3083" t="n">
        <v>0.216</v>
      </c>
      <c r="L3083" t="n">
        <v>0.784</v>
      </c>
      <c r="M3083" t="n">
        <v>0</v>
      </c>
    </row>
    <row r="3084" spans="1:13">
      <c r="A3084" s="1">
        <f>HYPERLINK("http://www.twitter.com/NathanBLawrence/status/887360904807026693", "887360904807026693")</f>
        <v/>
      </c>
      <c r="B3084" s="2" t="n">
        <v>42934.72106481482</v>
      </c>
      <c r="C3084" t="n">
        <v>0</v>
      </c>
      <c r="D3084" t="n">
        <v>0</v>
      </c>
      <c r="E3084" t="s">
        <v>3093</v>
      </c>
      <c r="F3084" t="s"/>
      <c r="G3084" t="s"/>
      <c r="H3084" t="s"/>
      <c r="I3084" t="s"/>
      <c r="J3084" t="n">
        <v>0</v>
      </c>
      <c r="K3084" t="n">
        <v>0</v>
      </c>
      <c r="L3084" t="n">
        <v>1</v>
      </c>
      <c r="M3084" t="n">
        <v>0</v>
      </c>
    </row>
    <row r="3085" spans="1:13">
      <c r="A3085" s="1">
        <f>HYPERLINK("http://www.twitter.com/NathanBLawrence/status/887360514384424963", "887360514384424963")</f>
        <v/>
      </c>
      <c r="B3085" s="2" t="n">
        <v>42934.71998842592</v>
      </c>
      <c r="C3085" t="n">
        <v>0</v>
      </c>
      <c r="D3085" t="n">
        <v>0</v>
      </c>
      <c r="E3085" t="s">
        <v>3094</v>
      </c>
      <c r="F3085" t="s"/>
      <c r="G3085" t="s"/>
      <c r="H3085" t="s"/>
      <c r="I3085" t="s"/>
      <c r="J3085" t="n">
        <v>0</v>
      </c>
      <c r="K3085" t="n">
        <v>0</v>
      </c>
      <c r="L3085" t="n">
        <v>1</v>
      </c>
      <c r="M3085" t="n">
        <v>0</v>
      </c>
    </row>
    <row r="3086" spans="1:13">
      <c r="A3086" s="1">
        <f>HYPERLINK("http://www.twitter.com/NathanBLawrence/status/887359362523684864", "887359362523684864")</f>
        <v/>
      </c>
      <c r="B3086" s="2" t="n">
        <v>42934.71681712963</v>
      </c>
      <c r="C3086" t="n">
        <v>1</v>
      </c>
      <c r="D3086" t="n">
        <v>0</v>
      </c>
      <c r="E3086" t="s">
        <v>3095</v>
      </c>
      <c r="F3086" t="s"/>
      <c r="G3086" t="s"/>
      <c r="H3086" t="s"/>
      <c r="I3086" t="s"/>
      <c r="J3086" t="n">
        <v>0.4927</v>
      </c>
      <c r="K3086" t="n">
        <v>0</v>
      </c>
      <c r="L3086" t="n">
        <v>0.79</v>
      </c>
      <c r="M3086" t="n">
        <v>0.21</v>
      </c>
    </row>
    <row r="3087" spans="1:13">
      <c r="A3087" s="1">
        <f>HYPERLINK("http://www.twitter.com/NathanBLawrence/status/887357361853214720", "887357361853214720")</f>
        <v/>
      </c>
      <c r="B3087" s="2" t="n">
        <v>42934.71129629629</v>
      </c>
      <c r="C3087" t="n">
        <v>0</v>
      </c>
      <c r="D3087" t="n">
        <v>0</v>
      </c>
      <c r="E3087" t="s">
        <v>3096</v>
      </c>
      <c r="F3087" t="s"/>
      <c r="G3087" t="s"/>
      <c r="H3087" t="s"/>
      <c r="I3087" t="s"/>
      <c r="J3087" t="n">
        <v>0</v>
      </c>
      <c r="K3087" t="n">
        <v>0</v>
      </c>
      <c r="L3087" t="n">
        <v>1</v>
      </c>
      <c r="M3087" t="n">
        <v>0</v>
      </c>
    </row>
    <row r="3088" spans="1:13">
      <c r="A3088" s="1">
        <f>HYPERLINK("http://www.twitter.com/NathanBLawrence/status/887338902167719938", "887338902167719938")</f>
        <v/>
      </c>
      <c r="B3088" s="2" t="n">
        <v>42934.66034722222</v>
      </c>
      <c r="C3088" t="n">
        <v>0</v>
      </c>
      <c r="D3088" t="n">
        <v>0</v>
      </c>
      <c r="E3088" t="s">
        <v>3097</v>
      </c>
      <c r="F3088" t="s"/>
      <c r="G3088" t="s"/>
      <c r="H3088" t="s"/>
      <c r="I3088" t="s"/>
      <c r="J3088" t="n">
        <v>0</v>
      </c>
      <c r="K3088" t="n">
        <v>0</v>
      </c>
      <c r="L3088" t="n">
        <v>1</v>
      </c>
      <c r="M3088" t="n">
        <v>0</v>
      </c>
    </row>
    <row r="3089" spans="1:13">
      <c r="A3089" s="1">
        <f>HYPERLINK("http://www.twitter.com/NathanBLawrence/status/887338756524650496", "887338756524650496")</f>
        <v/>
      </c>
      <c r="B3089" s="2" t="n">
        <v>42934.6599537037</v>
      </c>
      <c r="C3089" t="n">
        <v>0</v>
      </c>
      <c r="D3089" t="n">
        <v>0</v>
      </c>
      <c r="E3089" t="s">
        <v>3098</v>
      </c>
      <c r="F3089" t="s"/>
      <c r="G3089" t="s"/>
      <c r="H3089" t="s"/>
      <c r="I3089" t="s"/>
      <c r="J3089" t="n">
        <v>0</v>
      </c>
      <c r="K3089" t="n">
        <v>0</v>
      </c>
      <c r="L3089" t="n">
        <v>1</v>
      </c>
      <c r="M3089" t="n">
        <v>0</v>
      </c>
    </row>
    <row r="3090" spans="1:13">
      <c r="A3090" s="1">
        <f>HYPERLINK("http://www.twitter.com/NathanBLawrence/status/887293258472325120", "887293258472325120")</f>
        <v/>
      </c>
      <c r="B3090" s="2" t="n">
        <v>42934.53439814815</v>
      </c>
      <c r="C3090" t="n">
        <v>0</v>
      </c>
      <c r="D3090" t="n">
        <v>0</v>
      </c>
      <c r="E3090" t="s">
        <v>3099</v>
      </c>
      <c r="F3090" t="s"/>
      <c r="G3090" t="s"/>
      <c r="H3090" t="s"/>
      <c r="I3090" t="s"/>
      <c r="J3090" t="n">
        <v>0.5826</v>
      </c>
      <c r="K3090" t="n">
        <v>0</v>
      </c>
      <c r="L3090" t="n">
        <v>0.679</v>
      </c>
      <c r="M3090" t="n">
        <v>0.321</v>
      </c>
    </row>
    <row r="3091" spans="1:13">
      <c r="A3091" s="1">
        <f>HYPERLINK("http://www.twitter.com/NathanBLawrence/status/887292528923480064", "887292528923480064")</f>
        <v/>
      </c>
      <c r="B3091" s="2" t="n">
        <v>42934.53238425926</v>
      </c>
      <c r="C3091" t="n">
        <v>0</v>
      </c>
      <c r="D3091" t="n">
        <v>7425</v>
      </c>
      <c r="E3091" t="s">
        <v>3100</v>
      </c>
      <c r="F3091" t="s"/>
      <c r="G3091" t="s"/>
      <c r="H3091" t="s"/>
      <c r="I3091" t="s"/>
      <c r="J3091" t="n">
        <v>0.4574</v>
      </c>
      <c r="K3091" t="n">
        <v>0</v>
      </c>
      <c r="L3091" t="n">
        <v>0.786</v>
      </c>
      <c r="M3091" t="n">
        <v>0.214</v>
      </c>
    </row>
    <row r="3092" spans="1:13">
      <c r="A3092" s="1">
        <f>HYPERLINK("http://www.twitter.com/NathanBLawrence/status/887286808614244352", "887286808614244352")</f>
        <v/>
      </c>
      <c r="B3092" s="2" t="n">
        <v>42934.51659722222</v>
      </c>
      <c r="C3092" t="n">
        <v>0</v>
      </c>
      <c r="D3092" t="n">
        <v>0</v>
      </c>
      <c r="E3092" t="s">
        <v>3101</v>
      </c>
      <c r="F3092" t="s"/>
      <c r="G3092" t="s"/>
      <c r="H3092" t="s"/>
      <c r="I3092" t="s"/>
      <c r="J3092" t="n">
        <v>0.2023</v>
      </c>
      <c r="K3092" t="n">
        <v>0</v>
      </c>
      <c r="L3092" t="n">
        <v>0.769</v>
      </c>
      <c r="M3092" t="n">
        <v>0.231</v>
      </c>
    </row>
    <row r="3093" spans="1:13">
      <c r="A3093" s="1">
        <f>HYPERLINK("http://www.twitter.com/NathanBLawrence/status/887257462189019136", "887257462189019136")</f>
        <v/>
      </c>
      <c r="B3093" s="2" t="n">
        <v>42934.435625</v>
      </c>
      <c r="C3093" t="n">
        <v>1</v>
      </c>
      <c r="D3093" t="n">
        <v>0</v>
      </c>
      <c r="E3093" t="s">
        <v>3102</v>
      </c>
      <c r="F3093" t="s"/>
      <c r="G3093" t="s"/>
      <c r="H3093" t="s"/>
      <c r="I3093" t="s"/>
      <c r="J3093" t="n">
        <v>-0.308</v>
      </c>
      <c r="K3093" t="n">
        <v>0.097</v>
      </c>
      <c r="L3093" t="n">
        <v>0.903</v>
      </c>
      <c r="M3093" t="n">
        <v>0</v>
      </c>
    </row>
    <row r="3094" spans="1:13">
      <c r="A3094" s="1">
        <f>HYPERLINK("http://www.twitter.com/NathanBLawrence/status/887167975400361984", "887167975400361984")</f>
        <v/>
      </c>
      <c r="B3094" s="2" t="n">
        <v>42934.18868055556</v>
      </c>
      <c r="C3094" t="n">
        <v>0</v>
      </c>
      <c r="D3094" t="n">
        <v>0</v>
      </c>
      <c r="E3094" t="s">
        <v>3103</v>
      </c>
      <c r="F3094" t="s"/>
      <c r="G3094" t="s"/>
      <c r="H3094" t="s"/>
      <c r="I3094" t="s"/>
      <c r="J3094" t="n">
        <v>0</v>
      </c>
      <c r="K3094" t="n">
        <v>0</v>
      </c>
      <c r="L3094" t="n">
        <v>1</v>
      </c>
      <c r="M3094" t="n">
        <v>0</v>
      </c>
    </row>
    <row r="3095" spans="1:13">
      <c r="A3095" s="1">
        <f>HYPERLINK("http://www.twitter.com/NathanBLawrence/status/887167457751945216", "887167457751945216")</f>
        <v/>
      </c>
      <c r="B3095" s="2" t="n">
        <v>42934.18725694445</v>
      </c>
      <c r="C3095" t="n">
        <v>0</v>
      </c>
      <c r="D3095" t="n">
        <v>26982</v>
      </c>
      <c r="E3095" t="s">
        <v>3104</v>
      </c>
      <c r="F3095" t="s"/>
      <c r="G3095" t="s"/>
      <c r="H3095" t="s"/>
      <c r="I3095" t="s"/>
      <c r="J3095" t="n">
        <v>-0.1531</v>
      </c>
      <c r="K3095" t="n">
        <v>0.132</v>
      </c>
      <c r="L3095" t="n">
        <v>0.76</v>
      </c>
      <c r="M3095" t="n">
        <v>0.108</v>
      </c>
    </row>
    <row r="3096" spans="1:13">
      <c r="A3096" s="1">
        <f>HYPERLINK("http://www.twitter.com/NathanBLawrence/status/887165925266522113", "887165925266522113")</f>
        <v/>
      </c>
      <c r="B3096" s="2" t="n">
        <v>42934.18302083333</v>
      </c>
      <c r="C3096" t="n">
        <v>1</v>
      </c>
      <c r="D3096" t="n">
        <v>1</v>
      </c>
      <c r="E3096" t="s">
        <v>3105</v>
      </c>
      <c r="F3096" t="s"/>
      <c r="G3096" t="s"/>
      <c r="H3096" t="s"/>
      <c r="I3096" t="s"/>
      <c r="J3096" t="n">
        <v>0</v>
      </c>
      <c r="K3096" t="n">
        <v>0</v>
      </c>
      <c r="L3096" t="n">
        <v>1</v>
      </c>
      <c r="M3096" t="n">
        <v>0</v>
      </c>
    </row>
    <row r="3097" spans="1:13">
      <c r="A3097" s="1">
        <f>HYPERLINK("http://www.twitter.com/NathanBLawrence/status/887130333413609472", "887130333413609472")</f>
        <v/>
      </c>
      <c r="B3097" s="2" t="n">
        <v>42934.08481481481</v>
      </c>
      <c r="C3097" t="n">
        <v>0</v>
      </c>
      <c r="D3097" t="n">
        <v>0</v>
      </c>
      <c r="E3097" t="s">
        <v>3106</v>
      </c>
      <c r="F3097" t="s"/>
      <c r="G3097" t="s"/>
      <c r="H3097" t="s"/>
      <c r="I3097" t="s"/>
      <c r="J3097" t="n">
        <v>0.4404</v>
      </c>
      <c r="K3097" t="n">
        <v>0</v>
      </c>
      <c r="L3097" t="n">
        <v>0.896</v>
      </c>
      <c r="M3097" t="n">
        <v>0.104</v>
      </c>
    </row>
    <row r="3098" spans="1:13">
      <c r="A3098" s="1">
        <f>HYPERLINK("http://www.twitter.com/NathanBLawrence/status/887121397348278272", "887121397348278272")</f>
        <v/>
      </c>
      <c r="B3098" s="2" t="n">
        <v>42934.06015046296</v>
      </c>
      <c r="C3098" t="n">
        <v>0</v>
      </c>
      <c r="D3098" t="n">
        <v>0</v>
      </c>
      <c r="E3098" t="s">
        <v>3107</v>
      </c>
      <c r="F3098">
        <f>HYPERLINK("http://pbs.twimg.com/media/DE-wNKlUMAAb7Ak.jpg", "http://pbs.twimg.com/media/DE-wNKlUMAAb7Ak.jpg")</f>
        <v/>
      </c>
      <c r="G3098" t="s"/>
      <c r="H3098" t="s"/>
      <c r="I3098" t="s"/>
      <c r="J3098" t="n">
        <v>0</v>
      </c>
      <c r="K3098" t="n">
        <v>0</v>
      </c>
      <c r="L3098" t="n">
        <v>1</v>
      </c>
      <c r="M3098" t="n">
        <v>0</v>
      </c>
    </row>
    <row r="3099" spans="1:13">
      <c r="A3099" s="1">
        <f>HYPERLINK("http://www.twitter.com/NathanBLawrence/status/887121255429799937", "887121255429799937")</f>
        <v/>
      </c>
      <c r="B3099" s="2" t="n">
        <v>42934.05975694444</v>
      </c>
      <c r="C3099" t="n">
        <v>0</v>
      </c>
      <c r="D3099" t="n">
        <v>0</v>
      </c>
      <c r="E3099" t="s">
        <v>3108</v>
      </c>
      <c r="F3099" t="s"/>
      <c r="G3099" t="s"/>
      <c r="H3099" t="s"/>
      <c r="I3099" t="s"/>
      <c r="J3099" t="n">
        <v>0</v>
      </c>
      <c r="K3099" t="n">
        <v>0</v>
      </c>
      <c r="L3099" t="n">
        <v>1</v>
      </c>
      <c r="M3099" t="n">
        <v>0</v>
      </c>
    </row>
    <row r="3100" spans="1:13">
      <c r="A3100" s="1">
        <f>HYPERLINK("http://www.twitter.com/NathanBLawrence/status/886997923338309637", "886997923338309637")</f>
        <v/>
      </c>
      <c r="B3100" s="2" t="n">
        <v>42933.71943287037</v>
      </c>
      <c r="C3100" t="n">
        <v>0</v>
      </c>
      <c r="D3100" t="n">
        <v>0</v>
      </c>
      <c r="E3100" t="s">
        <v>3109</v>
      </c>
      <c r="F3100">
        <f>HYPERLINK("http://pbs.twimg.com/media/DE8_51vUIAABOZN.jpg", "http://pbs.twimg.com/media/DE8_51vUIAABOZN.jpg")</f>
        <v/>
      </c>
      <c r="G3100" t="s"/>
      <c r="H3100" t="s"/>
      <c r="I3100" t="s"/>
      <c r="J3100" t="n">
        <v>0</v>
      </c>
      <c r="K3100" t="n">
        <v>0</v>
      </c>
      <c r="L3100" t="n">
        <v>1</v>
      </c>
      <c r="M3100" t="n">
        <v>0</v>
      </c>
    </row>
    <row r="3101" spans="1:13">
      <c r="A3101" s="1">
        <f>HYPERLINK("http://www.twitter.com/NathanBLawrence/status/886946147247558656", "886946147247558656")</f>
        <v/>
      </c>
      <c r="B3101" s="2" t="n">
        <v>42933.57655092593</v>
      </c>
      <c r="C3101" t="n">
        <v>2</v>
      </c>
      <c r="D3101" t="n">
        <v>0</v>
      </c>
      <c r="E3101" t="s">
        <v>3110</v>
      </c>
      <c r="F3101" t="s"/>
      <c r="G3101" t="s"/>
      <c r="H3101" t="s"/>
      <c r="I3101" t="s"/>
      <c r="J3101" t="n">
        <v>0.5719</v>
      </c>
      <c r="K3101" t="n">
        <v>0</v>
      </c>
      <c r="L3101" t="n">
        <v>0.791</v>
      </c>
      <c r="M3101" t="n">
        <v>0.209</v>
      </c>
    </row>
    <row r="3102" spans="1:13">
      <c r="A3102" s="1">
        <f>HYPERLINK("http://www.twitter.com/NathanBLawrence/status/886924942406803456", "886924942406803456")</f>
        <v/>
      </c>
      <c r="B3102" s="2" t="n">
        <v>42933.51804398148</v>
      </c>
      <c r="C3102" t="n">
        <v>1</v>
      </c>
      <c r="D3102" t="n">
        <v>0</v>
      </c>
      <c r="E3102" t="s">
        <v>3111</v>
      </c>
      <c r="F3102" t="s"/>
      <c r="G3102" t="s"/>
      <c r="H3102" t="s"/>
      <c r="I3102" t="s"/>
      <c r="J3102" t="n">
        <v>0.4588</v>
      </c>
      <c r="K3102" t="n">
        <v>0.08699999999999999</v>
      </c>
      <c r="L3102" t="n">
        <v>0.748</v>
      </c>
      <c r="M3102" t="n">
        <v>0.165</v>
      </c>
    </row>
    <row r="3103" spans="1:13">
      <c r="A3103" s="1">
        <f>HYPERLINK("http://www.twitter.com/NathanBLawrence/status/886593454737944579", "886593454737944579")</f>
        <v/>
      </c>
      <c r="B3103" s="2" t="n">
        <v>42932.60331018519</v>
      </c>
      <c r="C3103" t="n">
        <v>0</v>
      </c>
      <c r="D3103" t="n">
        <v>0</v>
      </c>
      <c r="E3103" t="s">
        <v>3112</v>
      </c>
      <c r="F3103">
        <f>HYPERLINK("http://pbs.twimg.com/media/DE3QC1JVoAA0MVK.jpg", "http://pbs.twimg.com/media/DE3QC1JVoAA0MVK.jpg")</f>
        <v/>
      </c>
      <c r="G3103" t="s"/>
      <c r="H3103" t="s"/>
      <c r="I3103" t="s"/>
      <c r="J3103" t="n">
        <v>0</v>
      </c>
      <c r="K3103" t="n">
        <v>0</v>
      </c>
      <c r="L3103" t="n">
        <v>1</v>
      </c>
      <c r="M3103" t="n">
        <v>0</v>
      </c>
    </row>
    <row r="3104" spans="1:13">
      <c r="A3104" s="1">
        <f>HYPERLINK("http://www.twitter.com/NathanBLawrence/status/886440326726070272", "886440326726070272")</f>
        <v/>
      </c>
      <c r="B3104" s="2" t="n">
        <v>42932.18075231482</v>
      </c>
      <c r="C3104" t="n">
        <v>2</v>
      </c>
      <c r="D3104" t="n">
        <v>0</v>
      </c>
      <c r="E3104" t="s">
        <v>3113</v>
      </c>
      <c r="F3104" t="s"/>
      <c r="G3104" t="s"/>
      <c r="H3104" t="s"/>
      <c r="I3104" t="s"/>
      <c r="J3104" t="n">
        <v>0.3612</v>
      </c>
      <c r="K3104" t="n">
        <v>0</v>
      </c>
      <c r="L3104" t="n">
        <v>0.667</v>
      </c>
      <c r="M3104" t="n">
        <v>0.333</v>
      </c>
    </row>
    <row r="3105" spans="1:13">
      <c r="A3105" s="1">
        <f>HYPERLINK("http://www.twitter.com/NathanBLawrence/status/886393550409261061", "886393550409261061")</f>
        <v/>
      </c>
      <c r="B3105" s="2" t="n">
        <v>42932.05167824074</v>
      </c>
      <c r="C3105" t="n">
        <v>4</v>
      </c>
      <c r="D3105" t="n">
        <v>1</v>
      </c>
      <c r="E3105" t="s">
        <v>3114</v>
      </c>
      <c r="F3105" t="s"/>
      <c r="G3105" t="s"/>
      <c r="H3105" t="s"/>
      <c r="I3105" t="s"/>
      <c r="J3105" t="n">
        <v>0</v>
      </c>
      <c r="K3105" t="n">
        <v>0</v>
      </c>
      <c r="L3105" t="n">
        <v>1</v>
      </c>
      <c r="M3105" t="n">
        <v>0</v>
      </c>
    </row>
    <row r="3106" spans="1:13">
      <c r="A3106" s="1">
        <f>HYPERLINK("http://www.twitter.com/NathanBLawrence/status/886269105304719361", "886269105304719361")</f>
        <v/>
      </c>
      <c r="B3106" s="2" t="n">
        <v>42931.70827546297</v>
      </c>
      <c r="C3106" t="n">
        <v>0</v>
      </c>
      <c r="D3106" t="n">
        <v>0</v>
      </c>
      <c r="E3106" t="s">
        <v>3115</v>
      </c>
      <c r="F3106" t="s"/>
      <c r="G3106" t="s"/>
      <c r="H3106" t="s"/>
      <c r="I3106" t="s"/>
      <c r="J3106" t="n">
        <v>0</v>
      </c>
      <c r="K3106" t="n">
        <v>0</v>
      </c>
      <c r="L3106" t="n">
        <v>1</v>
      </c>
      <c r="M3106" t="n">
        <v>0</v>
      </c>
    </row>
    <row r="3107" spans="1:13">
      <c r="A3107" s="1">
        <f>HYPERLINK("http://www.twitter.com/NathanBLawrence/status/885538593371979776", "885538593371979776")</f>
        <v/>
      </c>
      <c r="B3107" s="2" t="n">
        <v>42929.69244212963</v>
      </c>
      <c r="C3107" t="n">
        <v>0</v>
      </c>
      <c r="D3107" t="n">
        <v>15647</v>
      </c>
      <c r="E3107" t="s">
        <v>3116</v>
      </c>
      <c r="F3107" t="s"/>
      <c r="G3107" t="s"/>
      <c r="H3107" t="s"/>
      <c r="I3107" t="s"/>
      <c r="J3107" t="n">
        <v>-0.5266999999999999</v>
      </c>
      <c r="K3107" t="n">
        <v>0.18</v>
      </c>
      <c r="L3107" t="n">
        <v>0.82</v>
      </c>
      <c r="M3107" t="n">
        <v>0</v>
      </c>
    </row>
    <row r="3108" spans="1:13">
      <c r="A3108" s="1">
        <f>HYPERLINK("http://www.twitter.com/NathanBLawrence/status/885499692439785472", "885499692439785472")</f>
        <v/>
      </c>
      <c r="B3108" s="2" t="n">
        <v>42929.58510416667</v>
      </c>
      <c r="C3108" t="n">
        <v>0</v>
      </c>
      <c r="D3108" t="n">
        <v>0</v>
      </c>
      <c r="E3108" t="s">
        <v>3117</v>
      </c>
      <c r="F3108" t="s"/>
      <c r="G3108" t="s"/>
      <c r="H3108" t="s"/>
      <c r="I3108" t="s"/>
      <c r="J3108" t="n">
        <v>0</v>
      </c>
      <c r="K3108" t="n">
        <v>0</v>
      </c>
      <c r="L3108" t="n">
        <v>1</v>
      </c>
      <c r="M3108" t="n">
        <v>0</v>
      </c>
    </row>
    <row r="3109" spans="1:13">
      <c r="A3109" s="1">
        <f>HYPERLINK("http://www.twitter.com/NathanBLawrence/status/885499275744038913", "885499275744038913")</f>
        <v/>
      </c>
      <c r="B3109" s="2" t="n">
        <v>42929.58394675926</v>
      </c>
      <c r="C3109" t="n">
        <v>2</v>
      </c>
      <c r="D3109" t="n">
        <v>0</v>
      </c>
      <c r="E3109" t="s">
        <v>3118</v>
      </c>
      <c r="F3109">
        <f>HYPERLINK("http://pbs.twimg.com/media/DEns5LgWsAAb0IV.jpg", "http://pbs.twimg.com/media/DEns5LgWsAAb0IV.jpg")</f>
        <v/>
      </c>
      <c r="G3109" t="s"/>
      <c r="H3109" t="s"/>
      <c r="I3109" t="s"/>
      <c r="J3109" t="n">
        <v>-0.6486</v>
      </c>
      <c r="K3109" t="n">
        <v>0.227</v>
      </c>
      <c r="L3109" t="n">
        <v>0.773</v>
      </c>
      <c r="M3109" t="n">
        <v>0</v>
      </c>
    </row>
    <row r="3110" spans="1:13">
      <c r="A3110" s="1">
        <f>HYPERLINK("http://www.twitter.com/NathanBLawrence/status/885311464529121280", "885311464529121280")</f>
        <v/>
      </c>
      <c r="B3110" s="2" t="n">
        <v>42929.06569444444</v>
      </c>
      <c r="C3110" t="n">
        <v>1</v>
      </c>
      <c r="D3110" t="n">
        <v>0</v>
      </c>
      <c r="E3110" t="s">
        <v>3119</v>
      </c>
      <c r="F3110" t="s"/>
      <c r="G3110" t="s"/>
      <c r="H3110" t="s"/>
      <c r="I3110" t="s"/>
      <c r="J3110" t="n">
        <v>0.8375</v>
      </c>
      <c r="K3110" t="n">
        <v>0</v>
      </c>
      <c r="L3110" t="n">
        <v>0.528</v>
      </c>
      <c r="M3110" t="n">
        <v>0.472</v>
      </c>
    </row>
    <row r="3111" spans="1:13">
      <c r="A3111" s="1">
        <f>HYPERLINK("http://www.twitter.com/NathanBLawrence/status/885301300753293313", "885301300753293313")</f>
        <v/>
      </c>
      <c r="B3111" s="2" t="n">
        <v>42929.03763888889</v>
      </c>
      <c r="C3111" t="n">
        <v>0</v>
      </c>
      <c r="D3111" t="n">
        <v>0</v>
      </c>
      <c r="E3111" t="s">
        <v>3120</v>
      </c>
      <c r="F3111">
        <f>HYPERLINK("http://pbs.twimg.com/media/DEk408kUwAACYJY.jpg", "http://pbs.twimg.com/media/DEk408kUwAACYJY.jpg")</f>
        <v/>
      </c>
      <c r="G3111" t="s"/>
      <c r="H3111" t="s"/>
      <c r="I3111" t="s"/>
      <c r="J3111" t="n">
        <v>0</v>
      </c>
      <c r="K3111" t="n">
        <v>0</v>
      </c>
      <c r="L3111" t="n">
        <v>1</v>
      </c>
      <c r="M3111" t="n">
        <v>0</v>
      </c>
    </row>
    <row r="3112" spans="1:13">
      <c r="A3112" s="1">
        <f>HYPERLINK("http://www.twitter.com/NathanBLawrence/status/885300795289325568", "885300795289325568")</f>
        <v/>
      </c>
      <c r="B3112" s="2" t="n">
        <v>42929.03625</v>
      </c>
      <c r="C3112" t="n">
        <v>0</v>
      </c>
      <c r="D3112" t="n">
        <v>0</v>
      </c>
      <c r="E3112" t="s">
        <v>3121</v>
      </c>
      <c r="F3112">
        <f>HYPERLINK("http://pbs.twimg.com/media/DEk4X9HVYAcM9nT.jpg", "http://pbs.twimg.com/media/DEk4X9HVYAcM9nT.jpg")</f>
        <v/>
      </c>
      <c r="G3112" t="s"/>
      <c r="H3112" t="s"/>
      <c r="I3112" t="s"/>
      <c r="J3112" t="n">
        <v>0</v>
      </c>
      <c r="K3112" t="n">
        <v>0</v>
      </c>
      <c r="L3112" t="n">
        <v>1</v>
      </c>
      <c r="M3112" t="n">
        <v>0</v>
      </c>
    </row>
    <row r="3113" spans="1:13">
      <c r="A3113" s="1">
        <f>HYPERLINK("http://www.twitter.com/NathanBLawrence/status/885300398810157056", "885300398810157056")</f>
        <v/>
      </c>
      <c r="B3113" s="2" t="n">
        <v>42929.03515046297</v>
      </c>
      <c r="C3113" t="n">
        <v>3</v>
      </c>
      <c r="D3113" t="n">
        <v>1</v>
      </c>
      <c r="E3113" t="s">
        <v>3122</v>
      </c>
      <c r="F3113">
        <f>HYPERLINK("http://pbs.twimg.com/media/DEk4AvUVYAAj59s.jpg", "http://pbs.twimg.com/media/DEk4AvUVYAAj59s.jpg")</f>
        <v/>
      </c>
      <c r="G3113" t="s"/>
      <c r="H3113" t="s"/>
      <c r="I3113" t="s"/>
      <c r="J3113" t="n">
        <v>-0.2047</v>
      </c>
      <c r="K3113" t="n">
        <v>0.157</v>
      </c>
      <c r="L3113" t="n">
        <v>0.746</v>
      </c>
      <c r="M3113" t="n">
        <v>0.097</v>
      </c>
    </row>
    <row r="3114" spans="1:13">
      <c r="A3114" s="1">
        <f>HYPERLINK("http://www.twitter.com/NathanBLawrence/status/885298406528364544", "885298406528364544")</f>
        <v/>
      </c>
      <c r="B3114" s="2" t="n">
        <v>42929.02965277778</v>
      </c>
      <c r="C3114" t="n">
        <v>0</v>
      </c>
      <c r="D3114" t="n">
        <v>0</v>
      </c>
      <c r="E3114" t="s">
        <v>3123</v>
      </c>
      <c r="F3114" t="s"/>
      <c r="G3114" t="s"/>
      <c r="H3114" t="s"/>
      <c r="I3114" t="s"/>
      <c r="J3114" t="n">
        <v>-0.2057</v>
      </c>
      <c r="K3114" t="n">
        <v>0.122</v>
      </c>
      <c r="L3114" t="n">
        <v>0.878</v>
      </c>
      <c r="M3114" t="n">
        <v>0</v>
      </c>
    </row>
    <row r="3115" spans="1:13">
      <c r="A3115" s="1">
        <f>HYPERLINK("http://www.twitter.com/NathanBLawrence/status/885295662165880832", "885295662165880832")</f>
        <v/>
      </c>
      <c r="B3115" s="2" t="n">
        <v>42929.02208333334</v>
      </c>
      <c r="C3115" t="n">
        <v>0</v>
      </c>
      <c r="D3115" t="n">
        <v>0</v>
      </c>
      <c r="E3115" t="s">
        <v>3124</v>
      </c>
      <c r="F3115" t="s"/>
      <c r="G3115" t="s"/>
      <c r="H3115" t="s"/>
      <c r="I3115" t="s"/>
      <c r="J3115" t="n">
        <v>0</v>
      </c>
      <c r="K3115" t="n">
        <v>0</v>
      </c>
      <c r="L3115" t="n">
        <v>1</v>
      </c>
      <c r="M3115" t="n">
        <v>0</v>
      </c>
    </row>
    <row r="3116" spans="1:13">
      <c r="A3116" s="1">
        <f>HYPERLINK("http://www.twitter.com/NathanBLawrence/status/885293599482679297", "885293599482679297")</f>
        <v/>
      </c>
      <c r="B3116" s="2" t="n">
        <v>42929.01638888889</v>
      </c>
      <c r="C3116" t="n">
        <v>0</v>
      </c>
      <c r="D3116" t="n">
        <v>0</v>
      </c>
      <c r="E3116" t="s">
        <v>3125</v>
      </c>
      <c r="F3116" t="s"/>
      <c r="G3116" t="s"/>
      <c r="H3116" t="s"/>
      <c r="I3116" t="s"/>
      <c r="J3116" t="n">
        <v>0</v>
      </c>
      <c r="K3116" t="n">
        <v>0</v>
      </c>
      <c r="L3116" t="n">
        <v>1</v>
      </c>
      <c r="M3116" t="n">
        <v>0</v>
      </c>
    </row>
    <row r="3117" spans="1:13">
      <c r="A3117" s="1">
        <f>HYPERLINK("http://www.twitter.com/NathanBLawrence/status/885292910215909377", "885292910215909377")</f>
        <v/>
      </c>
      <c r="B3117" s="2" t="n">
        <v>42929.01449074074</v>
      </c>
      <c r="C3117" t="n">
        <v>0</v>
      </c>
      <c r="D3117" t="n">
        <v>0</v>
      </c>
      <c r="E3117" t="s">
        <v>3126</v>
      </c>
      <c r="F3117">
        <f>HYPERLINK("http://pbs.twimg.com/media/DEkxM-dVYAAlVM0.jpg", "http://pbs.twimg.com/media/DEkxM-dVYAAlVM0.jpg")</f>
        <v/>
      </c>
      <c r="G3117" t="s"/>
      <c r="H3117" t="s"/>
      <c r="I3117" t="s"/>
      <c r="J3117" t="n">
        <v>0</v>
      </c>
      <c r="K3117" t="n">
        <v>0</v>
      </c>
      <c r="L3117" t="n">
        <v>1</v>
      </c>
      <c r="M3117" t="n">
        <v>0</v>
      </c>
    </row>
    <row r="3118" spans="1:13">
      <c r="A3118" s="1">
        <f>HYPERLINK("http://www.twitter.com/NathanBLawrence/status/885291800797360128", "885291800797360128")</f>
        <v/>
      </c>
      <c r="B3118" s="2" t="n">
        <v>42929.01142361111</v>
      </c>
      <c r="C3118" t="n">
        <v>0</v>
      </c>
      <c r="D3118" t="n">
        <v>0</v>
      </c>
      <c r="E3118" t="s">
        <v>3127</v>
      </c>
      <c r="F3118" t="s"/>
      <c r="G3118" t="s"/>
      <c r="H3118" t="s"/>
      <c r="I3118" t="s"/>
      <c r="J3118" t="n">
        <v>-0.875</v>
      </c>
      <c r="K3118" t="n">
        <v>0.526</v>
      </c>
      <c r="L3118" t="n">
        <v>0.474</v>
      </c>
      <c r="M3118" t="n">
        <v>0</v>
      </c>
    </row>
    <row r="3119" spans="1:13">
      <c r="A3119" s="1">
        <f>HYPERLINK("http://www.twitter.com/NathanBLawrence/status/885291540008103936", "885291540008103936")</f>
        <v/>
      </c>
      <c r="B3119" s="2" t="n">
        <v>42929.01070601852</v>
      </c>
      <c r="C3119" t="n">
        <v>0</v>
      </c>
      <c r="D3119" t="n">
        <v>0</v>
      </c>
      <c r="E3119" t="s">
        <v>3128</v>
      </c>
      <c r="F3119">
        <f>HYPERLINK("http://pbs.twimg.com/media/DEkv9W8UwAA8qmW.jpg", "http://pbs.twimg.com/media/DEkv9W8UwAA8qmW.jpg")</f>
        <v/>
      </c>
      <c r="G3119" t="s"/>
      <c r="H3119" t="s"/>
      <c r="I3119" t="s"/>
      <c r="J3119" t="n">
        <v>0</v>
      </c>
      <c r="K3119" t="n">
        <v>0</v>
      </c>
      <c r="L3119" t="n">
        <v>1</v>
      </c>
      <c r="M3119" t="n">
        <v>0</v>
      </c>
    </row>
    <row r="3120" spans="1:13">
      <c r="A3120" s="1">
        <f>HYPERLINK("http://www.twitter.com/NathanBLawrence/status/885291388530823168", "885291388530823168")</f>
        <v/>
      </c>
      <c r="B3120" s="2" t="n">
        <v>42929.01028935185</v>
      </c>
      <c r="C3120" t="n">
        <v>0</v>
      </c>
      <c r="D3120" t="n">
        <v>0</v>
      </c>
      <c r="E3120" t="s">
        <v>3129</v>
      </c>
      <c r="F3120" t="s"/>
      <c r="G3120" t="s"/>
      <c r="H3120" t="s"/>
      <c r="I3120" t="s"/>
      <c r="J3120" t="n">
        <v>-0.7845</v>
      </c>
      <c r="K3120" t="n">
        <v>0.385</v>
      </c>
      <c r="L3120" t="n">
        <v>0.615</v>
      </c>
      <c r="M3120" t="n">
        <v>0</v>
      </c>
    </row>
    <row r="3121" spans="1:13">
      <c r="A3121" s="1">
        <f>HYPERLINK("http://www.twitter.com/NathanBLawrence/status/885290936116416514", "885290936116416514")</f>
        <v/>
      </c>
      <c r="B3121" s="2" t="n">
        <v>42929.00903935185</v>
      </c>
      <c r="C3121" t="n">
        <v>0</v>
      </c>
      <c r="D3121" t="n">
        <v>0</v>
      </c>
      <c r="E3121" t="s">
        <v>3130</v>
      </c>
      <c r="F3121" t="s"/>
      <c r="G3121" t="s"/>
      <c r="H3121" t="s"/>
      <c r="I3121" t="s"/>
      <c r="J3121" t="n">
        <v>0.0062</v>
      </c>
      <c r="K3121" t="n">
        <v>0.127</v>
      </c>
      <c r="L3121" t="n">
        <v>0.745</v>
      </c>
      <c r="M3121" t="n">
        <v>0.128</v>
      </c>
    </row>
    <row r="3122" spans="1:13">
      <c r="A3122" s="1">
        <f>HYPERLINK("http://www.twitter.com/NathanBLawrence/status/885223815915163648", "885223815915163648")</f>
        <v/>
      </c>
      <c r="B3122" s="2" t="n">
        <v>42928.82383101852</v>
      </c>
      <c r="C3122" t="n">
        <v>0</v>
      </c>
      <c r="D3122" t="n">
        <v>3301</v>
      </c>
      <c r="E3122" t="s">
        <v>3131</v>
      </c>
      <c r="F3122">
        <f>HYPERLINK("http://pbs.twimg.com/media/DEfykL7XsAArhF1.jpg", "http://pbs.twimg.com/media/DEfykL7XsAArhF1.jpg")</f>
        <v/>
      </c>
      <c r="G3122" t="s"/>
      <c r="H3122" t="s"/>
      <c r="I3122" t="s"/>
      <c r="J3122" t="n">
        <v>0.6705</v>
      </c>
      <c r="K3122" t="n">
        <v>0</v>
      </c>
      <c r="L3122" t="n">
        <v>0.718</v>
      </c>
      <c r="M3122" t="n">
        <v>0.282</v>
      </c>
    </row>
    <row r="3123" spans="1:13">
      <c r="A3123" s="1">
        <f>HYPERLINK("http://www.twitter.com/NathanBLawrence/status/885175048067317760", "885175048067317760")</f>
        <v/>
      </c>
      <c r="B3123" s="2" t="n">
        <v>42928.68924768519</v>
      </c>
      <c r="C3123" t="n">
        <v>2</v>
      </c>
      <c r="D3123" t="n">
        <v>0</v>
      </c>
      <c r="E3123" t="s">
        <v>3132</v>
      </c>
      <c r="F3123" t="s"/>
      <c r="G3123" t="s"/>
      <c r="H3123" t="s"/>
      <c r="I3123" t="s"/>
      <c r="J3123" t="n">
        <v>0</v>
      </c>
      <c r="K3123" t="n">
        <v>0</v>
      </c>
      <c r="L3123" t="n">
        <v>1</v>
      </c>
      <c r="M3123" t="n">
        <v>0</v>
      </c>
    </row>
    <row r="3124" spans="1:13">
      <c r="A3124" s="1">
        <f>HYPERLINK("http://www.twitter.com/NathanBLawrence/status/885143746916044804", "885143746916044804")</f>
        <v/>
      </c>
      <c r="B3124" s="2" t="n">
        <v>42928.60288194445</v>
      </c>
      <c r="C3124" t="n">
        <v>0</v>
      </c>
      <c r="D3124" t="n">
        <v>32</v>
      </c>
      <c r="E3124" t="s">
        <v>3133</v>
      </c>
      <c r="F3124" t="s"/>
      <c r="G3124" t="s"/>
      <c r="H3124" t="s"/>
      <c r="I3124" t="s"/>
      <c r="J3124" t="n">
        <v>0</v>
      </c>
      <c r="K3124" t="n">
        <v>0</v>
      </c>
      <c r="L3124" t="n">
        <v>1</v>
      </c>
      <c r="M3124" t="n">
        <v>0</v>
      </c>
    </row>
    <row r="3125" spans="1:13">
      <c r="A3125" s="1">
        <f>HYPERLINK("http://www.twitter.com/NathanBLawrence/status/885134670983200768", "885134670983200768")</f>
        <v/>
      </c>
      <c r="B3125" s="2" t="n">
        <v>42928.57783564815</v>
      </c>
      <c r="C3125" t="n">
        <v>0</v>
      </c>
      <c r="D3125" t="n">
        <v>0</v>
      </c>
      <c r="E3125" t="s">
        <v>3134</v>
      </c>
      <c r="F3125" t="s"/>
      <c r="G3125" t="s"/>
      <c r="H3125" t="s"/>
      <c r="I3125" t="s"/>
      <c r="J3125" t="n">
        <v>0</v>
      </c>
      <c r="K3125" t="n">
        <v>0</v>
      </c>
      <c r="L3125" t="n">
        <v>1</v>
      </c>
      <c r="M3125" t="n">
        <v>0</v>
      </c>
    </row>
    <row r="3126" spans="1:13">
      <c r="A3126" s="1">
        <f>HYPERLINK("http://www.twitter.com/NathanBLawrence/status/884925757432233984", "884925757432233984")</f>
        <v/>
      </c>
      <c r="B3126" s="2" t="n">
        <v>42928.00134259259</v>
      </c>
      <c r="C3126" t="n">
        <v>0</v>
      </c>
      <c r="D3126" t="n">
        <v>0</v>
      </c>
      <c r="E3126" t="s">
        <v>3135</v>
      </c>
      <c r="F3126" t="s"/>
      <c r="G3126" t="s"/>
      <c r="H3126" t="s"/>
      <c r="I3126" t="s"/>
      <c r="J3126" t="n">
        <v>0</v>
      </c>
      <c r="K3126" t="n">
        <v>0</v>
      </c>
      <c r="L3126" t="n">
        <v>1</v>
      </c>
      <c r="M3126" t="n">
        <v>0</v>
      </c>
    </row>
    <row r="3127" spans="1:13">
      <c r="A3127" s="1">
        <f>HYPERLINK("http://www.twitter.com/NathanBLawrence/status/884913402203734022", "884913402203734022")</f>
        <v/>
      </c>
      <c r="B3127" s="2" t="n">
        <v>42927.96724537037</v>
      </c>
      <c r="C3127" t="n">
        <v>0</v>
      </c>
      <c r="D3127" t="n">
        <v>0</v>
      </c>
      <c r="E3127" t="s">
        <v>3136</v>
      </c>
      <c r="F3127" t="s"/>
      <c r="G3127" t="s"/>
      <c r="H3127" t="s"/>
      <c r="I3127" t="s"/>
      <c r="J3127" t="n">
        <v>-0.6449</v>
      </c>
      <c r="K3127" t="n">
        <v>0.461</v>
      </c>
      <c r="L3127" t="n">
        <v>0.539</v>
      </c>
      <c r="M3127" t="n">
        <v>0</v>
      </c>
    </row>
    <row r="3128" spans="1:13">
      <c r="A3128" s="1">
        <f>HYPERLINK("http://www.twitter.com/NathanBLawrence/status/884866387587543041", "884866387587543041")</f>
        <v/>
      </c>
      <c r="B3128" s="2" t="n">
        <v>42927.83751157407</v>
      </c>
      <c r="C3128" t="n">
        <v>0</v>
      </c>
      <c r="D3128" t="n">
        <v>2</v>
      </c>
      <c r="E3128" t="s">
        <v>3137</v>
      </c>
      <c r="F3128" t="s"/>
      <c r="G3128" t="s"/>
      <c r="H3128" t="s"/>
      <c r="I3128" t="s"/>
      <c r="J3128" t="n">
        <v>0</v>
      </c>
      <c r="K3128" t="n">
        <v>0</v>
      </c>
      <c r="L3128" t="n">
        <v>1</v>
      </c>
      <c r="M3128" t="n">
        <v>0</v>
      </c>
    </row>
    <row r="3129" spans="1:13">
      <c r="A3129" s="1">
        <f>HYPERLINK("http://www.twitter.com/NathanBLawrence/status/884724277060263936", "884724277060263936")</f>
        <v/>
      </c>
      <c r="B3129" s="2" t="n">
        <v>42927.4453587963</v>
      </c>
      <c r="C3129" t="n">
        <v>1</v>
      </c>
      <c r="D3129" t="n">
        <v>0</v>
      </c>
      <c r="E3129" t="s">
        <v>3138</v>
      </c>
      <c r="F3129" t="s"/>
      <c r="G3129" t="s"/>
      <c r="H3129" t="s"/>
      <c r="I3129" t="s"/>
      <c r="J3129" t="n">
        <v>-0.5216</v>
      </c>
      <c r="K3129" t="n">
        <v>0.325</v>
      </c>
      <c r="L3129" t="n">
        <v>0.675</v>
      </c>
      <c r="M3129" t="n">
        <v>0</v>
      </c>
    </row>
    <row r="3130" spans="1:13">
      <c r="A3130" s="1">
        <f>HYPERLINK("http://www.twitter.com/NathanBLawrence/status/884189373687889920", "884189373687889920")</f>
        <v/>
      </c>
      <c r="B3130" s="2" t="n">
        <v>42925.96930555555</v>
      </c>
      <c r="C3130" t="n">
        <v>1</v>
      </c>
      <c r="D3130" t="n">
        <v>0</v>
      </c>
      <c r="E3130" t="s">
        <v>3139</v>
      </c>
      <c r="F3130" t="s"/>
      <c r="G3130" t="s"/>
      <c r="H3130" t="s"/>
      <c r="I3130" t="s"/>
      <c r="J3130" t="n">
        <v>0</v>
      </c>
      <c r="K3130" t="n">
        <v>0</v>
      </c>
      <c r="L3130" t="n">
        <v>1</v>
      </c>
      <c r="M3130" t="n">
        <v>0</v>
      </c>
    </row>
    <row r="3131" spans="1:13">
      <c r="A3131" s="1">
        <f>HYPERLINK("http://www.twitter.com/NathanBLawrence/status/883681619441332224", "883681619441332224")</f>
        <v/>
      </c>
      <c r="B3131" s="2" t="n">
        <v>42924.5681712963</v>
      </c>
      <c r="C3131" t="n">
        <v>0</v>
      </c>
      <c r="D3131" t="n">
        <v>0</v>
      </c>
      <c r="E3131" t="s">
        <v>3140</v>
      </c>
      <c r="F3131" t="s"/>
      <c r="G3131" t="s"/>
      <c r="H3131" t="s"/>
      <c r="I3131" t="s"/>
      <c r="J3131" t="n">
        <v>0.5106000000000001</v>
      </c>
      <c r="K3131" t="n">
        <v>0</v>
      </c>
      <c r="L3131" t="n">
        <v>0.798</v>
      </c>
      <c r="M3131" t="n">
        <v>0.202</v>
      </c>
    </row>
    <row r="3132" spans="1:13">
      <c r="A3132" s="1">
        <f>HYPERLINK("http://www.twitter.com/NathanBLawrence/status/883331680857149440", "883331680857149440")</f>
        <v/>
      </c>
      <c r="B3132" s="2" t="n">
        <v>42923.60252314815</v>
      </c>
      <c r="C3132" t="n">
        <v>0</v>
      </c>
      <c r="D3132" t="n">
        <v>0</v>
      </c>
      <c r="E3132" t="s">
        <v>3141</v>
      </c>
      <c r="F3132" t="s"/>
      <c r="G3132" t="s"/>
      <c r="H3132" t="s"/>
      <c r="I3132" t="s"/>
      <c r="J3132" t="n">
        <v>-0.6449</v>
      </c>
      <c r="K3132" t="n">
        <v>0.587</v>
      </c>
      <c r="L3132" t="n">
        <v>0.413</v>
      </c>
      <c r="M3132" t="n">
        <v>0</v>
      </c>
    </row>
    <row r="3133" spans="1:13">
      <c r="A3133" s="1">
        <f>HYPERLINK("http://www.twitter.com/NathanBLawrence/status/883271345659944961", "883271345659944961")</f>
        <v/>
      </c>
      <c r="B3133" s="2" t="n">
        <v>42923.43603009259</v>
      </c>
      <c r="C3133" t="n">
        <v>0</v>
      </c>
      <c r="D3133" t="n">
        <v>0</v>
      </c>
      <c r="E3133" t="s">
        <v>3142</v>
      </c>
      <c r="F3133" t="s"/>
      <c r="G3133" t="s"/>
      <c r="H3133" t="s"/>
      <c r="I3133" t="s"/>
      <c r="J3133" t="n">
        <v>0.4019</v>
      </c>
      <c r="K3133" t="n">
        <v>0</v>
      </c>
      <c r="L3133" t="n">
        <v>0.787</v>
      </c>
      <c r="M3133" t="n">
        <v>0.213</v>
      </c>
    </row>
    <row r="3134" spans="1:13">
      <c r="A3134" s="1">
        <f>HYPERLINK("http://www.twitter.com/NathanBLawrence/status/883166729404383234", "883166729404383234")</f>
        <v/>
      </c>
      <c r="B3134" s="2" t="n">
        <v>42923.14734953704</v>
      </c>
      <c r="C3134" t="n">
        <v>1</v>
      </c>
      <c r="D3134" t="n">
        <v>0</v>
      </c>
      <c r="E3134" t="s">
        <v>3143</v>
      </c>
      <c r="F3134" t="s"/>
      <c r="G3134" t="s"/>
      <c r="H3134" t="s"/>
      <c r="I3134" t="s"/>
      <c r="J3134" t="n">
        <v>0</v>
      </c>
      <c r="K3134" t="n">
        <v>0</v>
      </c>
      <c r="L3134" t="n">
        <v>1</v>
      </c>
      <c r="M3134" t="n">
        <v>0</v>
      </c>
    </row>
    <row r="3135" spans="1:13">
      <c r="A3135" s="1">
        <f>HYPERLINK("http://www.twitter.com/NathanBLawrence/status/883165221250007040", "883165221250007040")</f>
        <v/>
      </c>
      <c r="B3135" s="2" t="n">
        <v>42923.14318287037</v>
      </c>
      <c r="C3135" t="n">
        <v>1</v>
      </c>
      <c r="D3135" t="n">
        <v>0</v>
      </c>
      <c r="E3135" t="s">
        <v>3144</v>
      </c>
      <c r="F3135" t="s"/>
      <c r="G3135" t="s"/>
      <c r="H3135" t="s"/>
      <c r="I3135" t="s"/>
      <c r="J3135" t="n">
        <v>-0.8804999999999999</v>
      </c>
      <c r="K3135" t="n">
        <v>0.405</v>
      </c>
      <c r="L3135" t="n">
        <v>0.595</v>
      </c>
      <c r="M3135" t="n">
        <v>0</v>
      </c>
    </row>
    <row r="3136" spans="1:13">
      <c r="A3136" s="1">
        <f>HYPERLINK("http://www.twitter.com/NathanBLawrence/status/882439477158973441", "882439477158973441")</f>
        <v/>
      </c>
      <c r="B3136" s="2" t="n">
        <v>42921.14050925926</v>
      </c>
      <c r="C3136" t="n">
        <v>0</v>
      </c>
      <c r="D3136" t="n">
        <v>1</v>
      </c>
      <c r="E3136" t="s">
        <v>3145</v>
      </c>
      <c r="F3136" t="s"/>
      <c r="G3136" t="s"/>
      <c r="H3136" t="s"/>
      <c r="I3136" t="s"/>
      <c r="J3136" t="n">
        <v>0.4926</v>
      </c>
      <c r="K3136" t="n">
        <v>0</v>
      </c>
      <c r="L3136" t="n">
        <v>0.61</v>
      </c>
      <c r="M3136" t="n">
        <v>0.39</v>
      </c>
    </row>
    <row r="3137" spans="1:13">
      <c r="A3137" s="1">
        <f>HYPERLINK("http://www.twitter.com/NathanBLawrence/status/882390240593412096", "882390240593412096")</f>
        <v/>
      </c>
      <c r="B3137" s="2" t="n">
        <v>42921.00465277778</v>
      </c>
      <c r="C3137" t="n">
        <v>1</v>
      </c>
      <c r="D3137" t="n">
        <v>0</v>
      </c>
      <c r="E3137" t="s">
        <v>3146</v>
      </c>
      <c r="F3137" t="s"/>
      <c r="G3137" t="s"/>
      <c r="H3137" t="s"/>
      <c r="I3137" t="s"/>
      <c r="J3137" t="n">
        <v>0</v>
      </c>
      <c r="K3137" t="n">
        <v>0</v>
      </c>
      <c r="L3137" t="n">
        <v>1</v>
      </c>
      <c r="M3137" t="n">
        <v>0</v>
      </c>
    </row>
    <row r="3138" spans="1:13">
      <c r="A3138" s="1">
        <f>HYPERLINK("http://www.twitter.com/NathanBLawrence/status/882064429071912960", "882064429071912960")</f>
        <v/>
      </c>
      <c r="B3138" s="2" t="n">
        <v>42920.1055787037</v>
      </c>
      <c r="C3138" t="n">
        <v>0</v>
      </c>
      <c r="D3138" t="n">
        <v>5559</v>
      </c>
      <c r="E3138" t="s">
        <v>3147</v>
      </c>
      <c r="F3138" t="s"/>
      <c r="G3138" t="s"/>
      <c r="H3138" t="s"/>
      <c r="I3138" t="s"/>
      <c r="J3138" t="n">
        <v>0</v>
      </c>
      <c r="K3138" t="n">
        <v>0</v>
      </c>
      <c r="L3138" t="n">
        <v>1</v>
      </c>
      <c r="M3138" t="n">
        <v>0</v>
      </c>
    </row>
    <row r="3139" spans="1:13">
      <c r="A3139" s="1">
        <f>HYPERLINK("http://www.twitter.com/NathanBLawrence/status/881979770346582016", "881979770346582016")</f>
        <v/>
      </c>
      <c r="B3139" s="2" t="n">
        <v>42919.87196759259</v>
      </c>
      <c r="C3139" t="n">
        <v>0</v>
      </c>
      <c r="D3139" t="n">
        <v>0</v>
      </c>
      <c r="E3139" t="s">
        <v>3148</v>
      </c>
      <c r="F3139" t="s"/>
      <c r="G3139" t="s"/>
      <c r="H3139" t="s"/>
      <c r="I3139" t="s"/>
      <c r="J3139" t="n">
        <v>0.7345</v>
      </c>
      <c r="K3139" t="n">
        <v>0.102</v>
      </c>
      <c r="L3139" t="n">
        <v>0.551</v>
      </c>
      <c r="M3139" t="n">
        <v>0.346</v>
      </c>
    </row>
    <row r="3140" spans="1:13">
      <c r="A3140" s="1">
        <f>HYPERLINK("http://www.twitter.com/NathanBLawrence/status/881952157905375234", "881952157905375234")</f>
        <v/>
      </c>
      <c r="B3140" s="2" t="n">
        <v>42919.79576388889</v>
      </c>
      <c r="C3140" t="n">
        <v>1</v>
      </c>
      <c r="D3140" t="n">
        <v>0</v>
      </c>
      <c r="E3140" t="s">
        <v>3149</v>
      </c>
      <c r="F3140" t="s"/>
      <c r="G3140" t="s"/>
      <c r="H3140" t="s"/>
      <c r="I3140" t="s"/>
      <c r="J3140" t="n">
        <v>-0.296</v>
      </c>
      <c r="K3140" t="n">
        <v>0.145</v>
      </c>
      <c r="L3140" t="n">
        <v>0.855</v>
      </c>
      <c r="M3140" t="n">
        <v>0</v>
      </c>
    </row>
    <row r="3141" spans="1:13">
      <c r="A3141" s="1">
        <f>HYPERLINK("http://www.twitter.com/NathanBLawrence/status/881886127652843521", "881886127652843521")</f>
        <v/>
      </c>
      <c r="B3141" s="2" t="n">
        <v>42919.61356481481</v>
      </c>
      <c r="C3141" t="n">
        <v>3</v>
      </c>
      <c r="D3141" t="n">
        <v>1</v>
      </c>
      <c r="E3141" t="s">
        <v>3150</v>
      </c>
      <c r="F3141" t="s"/>
      <c r="G3141" t="s"/>
      <c r="H3141" t="s"/>
      <c r="I3141" t="s"/>
      <c r="J3141" t="n">
        <v>-0.8176</v>
      </c>
      <c r="K3141" t="n">
        <v>0.515</v>
      </c>
      <c r="L3141" t="n">
        <v>0.485</v>
      </c>
      <c r="M3141" t="n">
        <v>0</v>
      </c>
    </row>
    <row r="3142" spans="1:13">
      <c r="A3142" s="1">
        <f>HYPERLINK("http://www.twitter.com/NathanBLawrence/status/881716374363672576", "881716374363672576")</f>
        <v/>
      </c>
      <c r="B3142" s="2" t="n">
        <v>42919.14512731481</v>
      </c>
      <c r="C3142" t="n">
        <v>0</v>
      </c>
      <c r="D3142" t="n">
        <v>4202</v>
      </c>
      <c r="E3142" t="s">
        <v>3151</v>
      </c>
      <c r="F3142" t="s"/>
      <c r="G3142" t="s"/>
      <c r="H3142" t="s"/>
      <c r="I3142" t="s"/>
      <c r="J3142" t="n">
        <v>0</v>
      </c>
      <c r="K3142" t="n">
        <v>0</v>
      </c>
      <c r="L3142" t="n">
        <v>1</v>
      </c>
      <c r="M3142" t="n">
        <v>0</v>
      </c>
    </row>
    <row r="3143" spans="1:13">
      <c r="A3143" s="1">
        <f>HYPERLINK("http://www.twitter.com/NathanBLawrence/status/881319560988819456", "881319560988819456")</f>
        <v/>
      </c>
      <c r="B3143" s="2" t="n">
        <v>42918.05013888889</v>
      </c>
      <c r="C3143" t="n">
        <v>0</v>
      </c>
      <c r="D3143" t="n">
        <v>0</v>
      </c>
      <c r="E3143" t="s">
        <v>3152</v>
      </c>
      <c r="F3143" t="s"/>
      <c r="G3143" t="s"/>
      <c r="H3143" t="s"/>
      <c r="I3143" t="s"/>
      <c r="J3143" t="n">
        <v>0</v>
      </c>
      <c r="K3143" t="n">
        <v>0</v>
      </c>
      <c r="L3143" t="n">
        <v>1</v>
      </c>
      <c r="M3143" t="n">
        <v>0</v>
      </c>
    </row>
    <row r="3144" spans="1:13">
      <c r="A3144" s="1">
        <f>HYPERLINK("http://www.twitter.com/NathanBLawrence/status/881242605283102721", "881242605283102721")</f>
        <v/>
      </c>
      <c r="B3144" s="2" t="n">
        <v>42917.83777777778</v>
      </c>
      <c r="C3144" t="n">
        <v>0</v>
      </c>
      <c r="D3144" t="n">
        <v>0</v>
      </c>
      <c r="E3144" t="s">
        <v>3153</v>
      </c>
      <c r="F3144" t="s"/>
      <c r="G3144" t="s"/>
      <c r="H3144" t="s"/>
      <c r="I3144" t="s"/>
      <c r="J3144" t="n">
        <v>-0.7096</v>
      </c>
      <c r="K3144" t="n">
        <v>0.33</v>
      </c>
      <c r="L3144" t="n">
        <v>0.67</v>
      </c>
      <c r="M3144" t="n">
        <v>0</v>
      </c>
    </row>
    <row r="3145" spans="1:13">
      <c r="A3145" s="1">
        <f>HYPERLINK("http://www.twitter.com/NathanBLawrence/status/881232469047087106", "881232469047087106")</f>
        <v/>
      </c>
      <c r="B3145" s="2" t="n">
        <v>42917.80980324074</v>
      </c>
      <c r="C3145" t="n">
        <v>1</v>
      </c>
      <c r="D3145" t="n">
        <v>0</v>
      </c>
      <c r="E3145" t="s">
        <v>3154</v>
      </c>
      <c r="F3145" t="s"/>
      <c r="G3145" t="s"/>
      <c r="H3145" t="s"/>
      <c r="I3145" t="s"/>
      <c r="J3145" t="n">
        <v>0</v>
      </c>
      <c r="K3145" t="n">
        <v>0</v>
      </c>
      <c r="L3145" t="n">
        <v>1</v>
      </c>
      <c r="M3145" t="n">
        <v>0</v>
      </c>
    </row>
    <row r="3146" spans="1:13">
      <c r="A3146" s="1">
        <f>HYPERLINK("http://www.twitter.com/NathanBLawrence/status/880830647853608961", "880830647853608961")</f>
        <v/>
      </c>
      <c r="B3146" s="2" t="n">
        <v>42916.70099537037</v>
      </c>
      <c r="C3146" t="n">
        <v>0</v>
      </c>
      <c r="D3146" t="n">
        <v>0</v>
      </c>
      <c r="E3146" t="s">
        <v>3155</v>
      </c>
      <c r="F3146" t="s"/>
      <c r="G3146" t="s"/>
      <c r="H3146" t="s"/>
      <c r="I3146" t="s"/>
      <c r="J3146" t="n">
        <v>-0.2023</v>
      </c>
      <c r="K3146" t="n">
        <v>0.185</v>
      </c>
      <c r="L3146" t="n">
        <v>0.674</v>
      </c>
      <c r="M3146" t="n">
        <v>0.14</v>
      </c>
    </row>
    <row r="3147" spans="1:13">
      <c r="A3147" s="1">
        <f>HYPERLINK("http://www.twitter.com/NathanBLawrence/status/880624872791175171", "880624872791175171")</f>
        <v/>
      </c>
      <c r="B3147" s="2" t="n">
        <v>42916.13315972222</v>
      </c>
      <c r="C3147" t="n">
        <v>1</v>
      </c>
      <c r="D3147" t="n">
        <v>0</v>
      </c>
      <c r="E3147" t="s">
        <v>3156</v>
      </c>
      <c r="F3147" t="s"/>
      <c r="G3147" t="s"/>
      <c r="H3147" t="s"/>
      <c r="I3147" t="s"/>
      <c r="J3147" t="n">
        <v>-0.4939</v>
      </c>
      <c r="K3147" t="n">
        <v>0.211</v>
      </c>
      <c r="L3147" t="n">
        <v>0.789</v>
      </c>
      <c r="M3147" t="n">
        <v>0</v>
      </c>
    </row>
    <row r="3148" spans="1:13">
      <c r="A3148" s="1">
        <f>HYPERLINK("http://www.twitter.com/NathanBLawrence/status/880623714802466818", "880623714802466818")</f>
        <v/>
      </c>
      <c r="B3148" s="2" t="n">
        <v>42916.12996527777</v>
      </c>
      <c r="C3148" t="n">
        <v>1</v>
      </c>
      <c r="D3148" t="n">
        <v>0</v>
      </c>
      <c r="E3148" t="s">
        <v>3157</v>
      </c>
      <c r="F3148">
        <f>HYPERLINK("http://pbs.twimg.com/media/DDiamC4XkAA8NtH.jpg", "http://pbs.twimg.com/media/DDiamC4XkAA8NtH.jpg")</f>
        <v/>
      </c>
      <c r="G3148" t="s"/>
      <c r="H3148" t="s"/>
      <c r="I3148" t="s"/>
      <c r="J3148" t="n">
        <v>0</v>
      </c>
      <c r="K3148" t="n">
        <v>0</v>
      </c>
      <c r="L3148" t="n">
        <v>1</v>
      </c>
      <c r="M3148" t="n">
        <v>0</v>
      </c>
    </row>
    <row r="3149" spans="1:13">
      <c r="A3149" s="1">
        <f>HYPERLINK("http://www.twitter.com/NathanBLawrence/status/880571447311204353", "880571447311204353")</f>
        <v/>
      </c>
      <c r="B3149" s="2" t="n">
        <v>42915.98572916666</v>
      </c>
      <c r="C3149" t="n">
        <v>0</v>
      </c>
      <c r="D3149" t="n">
        <v>0</v>
      </c>
      <c r="E3149" t="s">
        <v>3158</v>
      </c>
      <c r="F3149" t="s"/>
      <c r="G3149" t="s"/>
      <c r="H3149" t="s"/>
      <c r="I3149" t="s"/>
      <c r="J3149" t="n">
        <v>-0.5423</v>
      </c>
      <c r="K3149" t="n">
        <v>0.202</v>
      </c>
      <c r="L3149" t="n">
        <v>0.741</v>
      </c>
      <c r="M3149" t="n">
        <v>0.058</v>
      </c>
    </row>
    <row r="3150" spans="1:13">
      <c r="A3150" s="1">
        <f>HYPERLINK("http://www.twitter.com/NathanBLawrence/status/880559967727607809", "880559967727607809")</f>
        <v/>
      </c>
      <c r="B3150" s="2" t="n">
        <v>42915.95405092592</v>
      </c>
      <c r="C3150" t="n">
        <v>0</v>
      </c>
      <c r="D3150" t="n">
        <v>0</v>
      </c>
      <c r="E3150" t="s">
        <v>3159</v>
      </c>
      <c r="F3150" t="s"/>
      <c r="G3150" t="s"/>
      <c r="H3150" t="s"/>
      <c r="I3150" t="s"/>
      <c r="J3150" t="n">
        <v>-0.5574</v>
      </c>
      <c r="K3150" t="n">
        <v>0.265</v>
      </c>
      <c r="L3150" t="n">
        <v>0.735</v>
      </c>
      <c r="M3150" t="n">
        <v>0</v>
      </c>
    </row>
    <row r="3151" spans="1:13">
      <c r="A3151" s="1">
        <f>HYPERLINK("http://www.twitter.com/NathanBLawrence/status/880518327575171073", "880518327575171073")</f>
        <v/>
      </c>
      <c r="B3151" s="2" t="n">
        <v>42915.8391550926</v>
      </c>
      <c r="C3151" t="n">
        <v>0</v>
      </c>
      <c r="D3151" t="n">
        <v>0</v>
      </c>
      <c r="E3151" t="s">
        <v>3160</v>
      </c>
      <c r="F3151" t="s"/>
      <c r="G3151" t="s"/>
      <c r="H3151" t="s"/>
      <c r="I3151" t="s"/>
      <c r="J3151" t="n">
        <v>0</v>
      </c>
      <c r="K3151" t="n">
        <v>0</v>
      </c>
      <c r="L3151" t="n">
        <v>1</v>
      </c>
      <c r="M3151" t="n">
        <v>0</v>
      </c>
    </row>
    <row r="3152" spans="1:13">
      <c r="A3152" s="1">
        <f>HYPERLINK("http://www.twitter.com/NathanBLawrence/status/880505718855618562", "880505718855618562")</f>
        <v/>
      </c>
      <c r="B3152" s="2" t="n">
        <v>42915.80436342592</v>
      </c>
      <c r="C3152" t="n">
        <v>0</v>
      </c>
      <c r="D3152" t="n">
        <v>0</v>
      </c>
      <c r="E3152" t="s">
        <v>3161</v>
      </c>
      <c r="F3152" t="s"/>
      <c r="G3152" t="s"/>
      <c r="H3152" t="s"/>
      <c r="I3152" t="s"/>
      <c r="J3152" t="n">
        <v>-0.3111</v>
      </c>
      <c r="K3152" t="n">
        <v>0.232</v>
      </c>
      <c r="L3152" t="n">
        <v>0.615</v>
      </c>
      <c r="M3152" t="n">
        <v>0.154</v>
      </c>
    </row>
    <row r="3153" spans="1:13">
      <c r="A3153" s="1">
        <f>HYPERLINK("http://www.twitter.com/NathanBLawrence/status/880447918813196292", "880447918813196292")</f>
        <v/>
      </c>
      <c r="B3153" s="2" t="n">
        <v>42915.64486111111</v>
      </c>
      <c r="C3153" t="n">
        <v>2</v>
      </c>
      <c r="D3153" t="n">
        <v>0</v>
      </c>
      <c r="E3153" t="s">
        <v>3162</v>
      </c>
      <c r="F3153" t="s"/>
      <c r="G3153" t="s"/>
      <c r="H3153" t="s"/>
      <c r="I3153" t="s"/>
      <c r="J3153" t="n">
        <v>0.6597</v>
      </c>
      <c r="K3153" t="n">
        <v>0</v>
      </c>
      <c r="L3153" t="n">
        <v>0.357</v>
      </c>
      <c r="M3153" t="n">
        <v>0.643</v>
      </c>
    </row>
    <row r="3154" spans="1:13">
      <c r="A3154" s="1">
        <f>HYPERLINK("http://www.twitter.com/NathanBLawrence/status/880410481240027137", "880410481240027137")</f>
        <v/>
      </c>
      <c r="B3154" s="2" t="n">
        <v>42915.54155092593</v>
      </c>
      <c r="C3154" t="n">
        <v>1</v>
      </c>
      <c r="D3154" t="n">
        <v>0</v>
      </c>
      <c r="E3154" t="s">
        <v>3163</v>
      </c>
      <c r="F3154" t="s"/>
      <c r="G3154" t="s"/>
      <c r="H3154" t="s"/>
      <c r="I3154" t="s"/>
      <c r="J3154" t="n">
        <v>0</v>
      </c>
      <c r="K3154" t="n">
        <v>0</v>
      </c>
      <c r="L3154" t="n">
        <v>1</v>
      </c>
      <c r="M3154" t="n">
        <v>0</v>
      </c>
    </row>
    <row r="3155" spans="1:13">
      <c r="A3155" s="1">
        <f>HYPERLINK("http://www.twitter.com/NathanBLawrence/status/880404695482855425", "880404695482855425")</f>
        <v/>
      </c>
      <c r="B3155" s="2" t="n">
        <v>42915.52559027778</v>
      </c>
      <c r="C3155" t="n">
        <v>0</v>
      </c>
      <c r="D3155" t="n">
        <v>2623</v>
      </c>
      <c r="E3155" t="s">
        <v>3164</v>
      </c>
      <c r="F3155" t="s"/>
      <c r="G3155" t="s"/>
      <c r="H3155" t="s"/>
      <c r="I3155" t="s"/>
      <c r="J3155" t="n">
        <v>0</v>
      </c>
      <c r="K3155" t="n">
        <v>0</v>
      </c>
      <c r="L3155" t="n">
        <v>1</v>
      </c>
      <c r="M3155" t="n">
        <v>0</v>
      </c>
    </row>
    <row r="3156" spans="1:13">
      <c r="A3156" s="1">
        <f>HYPERLINK("http://www.twitter.com/NathanBLawrence/status/880375100016603136", "880375100016603136")</f>
        <v/>
      </c>
      <c r="B3156" s="2" t="n">
        <v>42915.44392361111</v>
      </c>
      <c r="C3156" t="n">
        <v>1</v>
      </c>
      <c r="D3156" t="n">
        <v>0</v>
      </c>
      <c r="E3156" t="s">
        <v>3165</v>
      </c>
      <c r="F3156" t="s"/>
      <c r="G3156" t="s"/>
      <c r="H3156" t="s"/>
      <c r="I3156" t="s"/>
      <c r="J3156" t="n">
        <v>0.7482</v>
      </c>
      <c r="K3156" t="n">
        <v>0</v>
      </c>
      <c r="L3156" t="n">
        <v>0.482</v>
      </c>
      <c r="M3156" t="n">
        <v>0.518</v>
      </c>
    </row>
    <row r="3157" spans="1:13">
      <c r="A3157" s="1">
        <f>HYPERLINK("http://www.twitter.com/NathanBLawrence/status/880252223804067841", "880252223804067841")</f>
        <v/>
      </c>
      <c r="B3157" s="2" t="n">
        <v>42915.10484953703</v>
      </c>
      <c r="C3157" t="n">
        <v>3</v>
      </c>
      <c r="D3157" t="n">
        <v>0</v>
      </c>
      <c r="E3157" t="s">
        <v>3166</v>
      </c>
      <c r="F3157" t="s"/>
      <c r="G3157" t="s"/>
      <c r="H3157" t="s"/>
      <c r="I3157" t="s"/>
      <c r="J3157" t="n">
        <v>0</v>
      </c>
      <c r="K3157" t="n">
        <v>0</v>
      </c>
      <c r="L3157" t="n">
        <v>1</v>
      </c>
      <c r="M3157" t="n">
        <v>0</v>
      </c>
    </row>
    <row r="3158" spans="1:13">
      <c r="A3158" s="1">
        <f>HYPERLINK("http://www.twitter.com/NathanBLawrence/status/880247629904523264", "880247629904523264")</f>
        <v/>
      </c>
      <c r="B3158" s="2" t="n">
        <v>42915.09216435185</v>
      </c>
      <c r="C3158" t="n">
        <v>2</v>
      </c>
      <c r="D3158" t="n">
        <v>0</v>
      </c>
      <c r="E3158" t="s">
        <v>3167</v>
      </c>
      <c r="F3158" t="s"/>
      <c r="G3158" t="s"/>
      <c r="H3158" t="s"/>
      <c r="I3158" t="s"/>
      <c r="J3158" t="n">
        <v>-0.4939</v>
      </c>
      <c r="K3158" t="n">
        <v>0.225</v>
      </c>
      <c r="L3158" t="n">
        <v>0.775</v>
      </c>
      <c r="M3158" t="n">
        <v>0</v>
      </c>
    </row>
    <row r="3159" spans="1:13">
      <c r="A3159" s="1">
        <f>HYPERLINK("http://www.twitter.com/NathanBLawrence/status/880245376044982273", "880245376044982273")</f>
        <v/>
      </c>
      <c r="B3159" s="2" t="n">
        <v>42915.08594907408</v>
      </c>
      <c r="C3159" t="n">
        <v>2</v>
      </c>
      <c r="D3159" t="n">
        <v>2</v>
      </c>
      <c r="E3159" t="s">
        <v>3168</v>
      </c>
      <c r="F3159" t="s"/>
      <c r="G3159" t="s"/>
      <c r="H3159" t="s"/>
      <c r="I3159" t="s"/>
      <c r="J3159" t="n">
        <v>-0.7722</v>
      </c>
      <c r="K3159" t="n">
        <v>0.29</v>
      </c>
      <c r="L3159" t="n">
        <v>0.632</v>
      </c>
      <c r="M3159" t="n">
        <v>0.078</v>
      </c>
    </row>
    <row r="3160" spans="1:13">
      <c r="A3160" s="1">
        <f>HYPERLINK("http://www.twitter.com/NathanBLawrence/status/880240665279553536", "880240665279553536")</f>
        <v/>
      </c>
      <c r="B3160" s="2" t="n">
        <v>42915.07295138889</v>
      </c>
      <c r="C3160" t="n">
        <v>0</v>
      </c>
      <c r="D3160" t="n">
        <v>0</v>
      </c>
      <c r="E3160" t="s">
        <v>3169</v>
      </c>
      <c r="F3160" t="s"/>
      <c r="G3160" t="s"/>
      <c r="H3160" t="s"/>
      <c r="I3160" t="s"/>
      <c r="J3160" t="n">
        <v>0.5719</v>
      </c>
      <c r="K3160" t="n">
        <v>0.112</v>
      </c>
      <c r="L3160" t="n">
        <v>0.622</v>
      </c>
      <c r="M3160" t="n">
        <v>0.266</v>
      </c>
    </row>
    <row r="3161" spans="1:13">
      <c r="A3161" s="1">
        <f>HYPERLINK("http://www.twitter.com/NathanBLawrence/status/880237120664809472", "880237120664809472")</f>
        <v/>
      </c>
      <c r="B3161" s="2" t="n">
        <v>42915.06317129629</v>
      </c>
      <c r="C3161" t="n">
        <v>1</v>
      </c>
      <c r="D3161" t="n">
        <v>1</v>
      </c>
      <c r="E3161" t="s">
        <v>3170</v>
      </c>
      <c r="F3161" t="s"/>
      <c r="G3161" t="s"/>
      <c r="H3161" t="s"/>
      <c r="I3161" t="s"/>
      <c r="J3161" t="n">
        <v>0</v>
      </c>
      <c r="K3161" t="n">
        <v>0</v>
      </c>
      <c r="L3161" t="n">
        <v>1</v>
      </c>
      <c r="M3161" t="n">
        <v>0</v>
      </c>
    </row>
    <row r="3162" spans="1:13">
      <c r="A3162" s="1">
        <f>HYPERLINK("http://www.twitter.com/NathanBLawrence/status/880229219489521669", "880229219489521669")</f>
        <v/>
      </c>
      <c r="B3162" s="2" t="n">
        <v>42915.04136574074</v>
      </c>
      <c r="C3162" t="n">
        <v>0</v>
      </c>
      <c r="D3162" t="n">
        <v>13</v>
      </c>
      <c r="E3162" t="s">
        <v>3171</v>
      </c>
      <c r="F3162">
        <f>HYPERLINK("http://pbs.twimg.com/media/C3MAL6PWQAIB5k-.jpg", "http://pbs.twimg.com/media/C3MAL6PWQAIB5k-.jpg")</f>
        <v/>
      </c>
      <c r="G3162" t="s"/>
      <c r="H3162" t="s"/>
      <c r="I3162" t="s"/>
      <c r="J3162" t="n">
        <v>0</v>
      </c>
      <c r="K3162" t="n">
        <v>0</v>
      </c>
      <c r="L3162" t="n">
        <v>1</v>
      </c>
      <c r="M3162" t="n">
        <v>0</v>
      </c>
    </row>
    <row r="3163" spans="1:13">
      <c r="A3163" s="1">
        <f>HYPERLINK("http://www.twitter.com/NathanBLawrence/status/880218712330166272", "880218712330166272")</f>
        <v/>
      </c>
      <c r="B3163" s="2" t="n">
        <v>42915.01237268518</v>
      </c>
      <c r="C3163" t="n">
        <v>0</v>
      </c>
      <c r="D3163" t="n">
        <v>966</v>
      </c>
      <c r="E3163" t="s">
        <v>3172</v>
      </c>
      <c r="F3163" t="s"/>
      <c r="G3163" t="s"/>
      <c r="H3163" t="s"/>
      <c r="I3163" t="s"/>
      <c r="J3163" t="n">
        <v>-0.2023</v>
      </c>
      <c r="K3163" t="n">
        <v>0.107</v>
      </c>
      <c r="L3163" t="n">
        <v>0.893</v>
      </c>
      <c r="M3163" t="n">
        <v>0</v>
      </c>
    </row>
    <row r="3164" spans="1:13">
      <c r="A3164" s="1">
        <f>HYPERLINK("http://www.twitter.com/NathanBLawrence/status/880213724275015681", "880213724275015681")</f>
        <v/>
      </c>
      <c r="B3164" s="2" t="n">
        <v>42914.99861111111</v>
      </c>
      <c r="C3164" t="n">
        <v>0</v>
      </c>
      <c r="D3164" t="n">
        <v>1</v>
      </c>
      <c r="E3164" t="s">
        <v>3173</v>
      </c>
      <c r="F3164" t="s"/>
      <c r="G3164" t="s"/>
      <c r="H3164" t="s"/>
      <c r="I3164" t="s"/>
      <c r="J3164" t="n">
        <v>-0.4574</v>
      </c>
      <c r="K3164" t="n">
        <v>0.15</v>
      </c>
      <c r="L3164" t="n">
        <v>0.85</v>
      </c>
      <c r="M3164" t="n">
        <v>0</v>
      </c>
    </row>
    <row r="3165" spans="1:13">
      <c r="A3165" s="1">
        <f>HYPERLINK("http://www.twitter.com/NathanBLawrence/status/880206345131237376", "880206345131237376")</f>
        <v/>
      </c>
      <c r="B3165" s="2" t="n">
        <v>42914.97824074074</v>
      </c>
      <c r="C3165" t="n">
        <v>0</v>
      </c>
      <c r="D3165" t="n">
        <v>0</v>
      </c>
      <c r="E3165" t="s">
        <v>3174</v>
      </c>
      <c r="F3165" t="s"/>
      <c r="G3165" t="s"/>
      <c r="H3165" t="s"/>
      <c r="I3165" t="s"/>
      <c r="J3165" t="n">
        <v>0</v>
      </c>
      <c r="K3165" t="n">
        <v>0</v>
      </c>
      <c r="L3165" t="n">
        <v>1</v>
      </c>
      <c r="M3165" t="n">
        <v>0</v>
      </c>
    </row>
    <row r="3166" spans="1:13">
      <c r="A3166" s="1">
        <f>HYPERLINK("http://www.twitter.com/NathanBLawrence/status/880119685240549376", "880119685240549376")</f>
        <v/>
      </c>
      <c r="B3166" s="2" t="n">
        <v>42914.7391087963</v>
      </c>
      <c r="C3166" t="n">
        <v>5</v>
      </c>
      <c r="D3166" t="n">
        <v>0</v>
      </c>
      <c r="E3166" t="s">
        <v>3175</v>
      </c>
      <c r="F3166" t="s"/>
      <c r="G3166" t="s"/>
      <c r="H3166" t="s"/>
      <c r="I3166" t="s"/>
      <c r="J3166" t="n">
        <v>0.5106000000000001</v>
      </c>
      <c r="K3166" t="n">
        <v>0</v>
      </c>
      <c r="L3166" t="n">
        <v>0.732</v>
      </c>
      <c r="M3166" t="n">
        <v>0.268</v>
      </c>
    </row>
    <row r="3167" spans="1:13">
      <c r="A3167" s="1">
        <f>HYPERLINK("http://www.twitter.com/NathanBLawrence/status/880119264161796096", "880119264161796096")</f>
        <v/>
      </c>
      <c r="B3167" s="2" t="n">
        <v>42914.73795138889</v>
      </c>
      <c r="C3167" t="n">
        <v>3</v>
      </c>
      <c r="D3167" t="n">
        <v>0</v>
      </c>
      <c r="E3167" t="s">
        <v>3176</v>
      </c>
      <c r="F3167" t="s"/>
      <c r="G3167" t="s"/>
      <c r="H3167" t="s"/>
      <c r="I3167" t="s"/>
      <c r="J3167" t="n">
        <v>0.6369</v>
      </c>
      <c r="K3167" t="n">
        <v>0</v>
      </c>
      <c r="L3167" t="n">
        <v>0.588</v>
      </c>
      <c r="M3167" t="n">
        <v>0.412</v>
      </c>
    </row>
    <row r="3168" spans="1:13">
      <c r="A3168" s="1">
        <f>HYPERLINK("http://www.twitter.com/NathanBLawrence/status/880079091755499520", "880079091755499520")</f>
        <v/>
      </c>
      <c r="B3168" s="2" t="n">
        <v>42914.62709490741</v>
      </c>
      <c r="C3168" t="n">
        <v>0</v>
      </c>
      <c r="D3168" t="n">
        <v>0</v>
      </c>
      <c r="E3168" t="s">
        <v>3177</v>
      </c>
      <c r="F3168" t="s"/>
      <c r="G3168" t="s"/>
      <c r="H3168" t="s"/>
      <c r="I3168" t="s"/>
      <c r="J3168" t="n">
        <v>0.4404</v>
      </c>
      <c r="K3168" t="n">
        <v>0</v>
      </c>
      <c r="L3168" t="n">
        <v>0.674</v>
      </c>
      <c r="M3168" t="n">
        <v>0.326</v>
      </c>
    </row>
    <row r="3169" spans="1:13">
      <c r="A3169" s="1">
        <f>HYPERLINK("http://www.twitter.com/NathanBLawrence/status/879819649663348736", "879819649663348736")</f>
        <v/>
      </c>
      <c r="B3169" s="2" t="n">
        <v>42913.91116898148</v>
      </c>
      <c r="C3169" t="n">
        <v>0</v>
      </c>
      <c r="D3169" t="n">
        <v>0</v>
      </c>
      <c r="E3169" t="s">
        <v>3178</v>
      </c>
      <c r="F3169" t="s"/>
      <c r="G3169" t="s"/>
      <c r="H3169" t="s"/>
      <c r="I3169" t="s"/>
      <c r="J3169" t="n">
        <v>0.7946</v>
      </c>
      <c r="K3169" t="n">
        <v>0</v>
      </c>
      <c r="L3169" t="n">
        <v>0.498</v>
      </c>
      <c r="M3169" t="n">
        <v>0.502</v>
      </c>
    </row>
    <row r="3170" spans="1:13">
      <c r="A3170" s="1">
        <f>HYPERLINK("http://www.twitter.com/NathanBLawrence/status/879817616046661632", "879817616046661632")</f>
        <v/>
      </c>
      <c r="B3170" s="2" t="n">
        <v>42913.90555555555</v>
      </c>
      <c r="C3170" t="n">
        <v>3</v>
      </c>
      <c r="D3170" t="n">
        <v>0</v>
      </c>
      <c r="E3170" t="s">
        <v>3179</v>
      </c>
      <c r="F3170" t="s"/>
      <c r="G3170" t="s"/>
      <c r="H3170" t="s"/>
      <c r="I3170" t="s"/>
      <c r="J3170" t="n">
        <v>0.1739</v>
      </c>
      <c r="K3170" t="n">
        <v>0.153</v>
      </c>
      <c r="L3170" t="n">
        <v>0.656</v>
      </c>
      <c r="M3170" t="n">
        <v>0.191</v>
      </c>
    </row>
    <row r="3171" spans="1:13">
      <c r="A3171" s="1">
        <f>HYPERLINK("http://www.twitter.com/NathanBLawrence/status/879789979483983872", "879789979483983872")</f>
        <v/>
      </c>
      <c r="B3171" s="2" t="n">
        <v>42913.82929398148</v>
      </c>
      <c r="C3171" t="n">
        <v>1</v>
      </c>
      <c r="D3171" t="n">
        <v>0</v>
      </c>
      <c r="E3171" t="s">
        <v>3180</v>
      </c>
      <c r="F3171" t="s"/>
      <c r="G3171" t="s"/>
      <c r="H3171" t="s"/>
      <c r="I3171" t="s"/>
      <c r="J3171" t="n">
        <v>-0.5719</v>
      </c>
      <c r="K3171" t="n">
        <v>0.222</v>
      </c>
      <c r="L3171" t="n">
        <v>0.778</v>
      </c>
      <c r="M3171" t="n">
        <v>0</v>
      </c>
    </row>
    <row r="3172" spans="1:13">
      <c r="A3172" s="1">
        <f>HYPERLINK("http://www.twitter.com/NathanBLawrence/status/879739449105633280", "879739449105633280")</f>
        <v/>
      </c>
      <c r="B3172" s="2" t="n">
        <v>42913.68986111111</v>
      </c>
      <c r="C3172" t="n">
        <v>1</v>
      </c>
      <c r="D3172" t="n">
        <v>0</v>
      </c>
      <c r="E3172" t="s">
        <v>3181</v>
      </c>
      <c r="F3172" t="s"/>
      <c r="G3172" t="s"/>
      <c r="H3172" t="s"/>
      <c r="I3172" t="s"/>
      <c r="J3172" t="n">
        <v>0</v>
      </c>
      <c r="K3172" t="n">
        <v>0</v>
      </c>
      <c r="L3172" t="n">
        <v>1</v>
      </c>
      <c r="M3172" t="n">
        <v>0</v>
      </c>
    </row>
    <row r="3173" spans="1:13">
      <c r="A3173" s="1">
        <f>HYPERLINK("http://www.twitter.com/NathanBLawrence/status/879738104856399881", "879738104856399881")</f>
        <v/>
      </c>
      <c r="B3173" s="2" t="n">
        <v>42913.68614583334</v>
      </c>
      <c r="C3173" t="n">
        <v>0</v>
      </c>
      <c r="D3173" t="n">
        <v>0</v>
      </c>
      <c r="E3173" t="s">
        <v>3182</v>
      </c>
      <c r="F3173" t="s"/>
      <c r="G3173" t="s"/>
      <c r="H3173" t="s"/>
      <c r="I3173" t="s"/>
      <c r="J3173" t="n">
        <v>0</v>
      </c>
      <c r="K3173" t="n">
        <v>0</v>
      </c>
      <c r="L3173" t="n">
        <v>1</v>
      </c>
      <c r="M3173" t="n">
        <v>0</v>
      </c>
    </row>
    <row r="3174" spans="1:13">
      <c r="A3174" s="1">
        <f>HYPERLINK("http://www.twitter.com/NathanBLawrence/status/879737801201377280", "879737801201377280")</f>
        <v/>
      </c>
      <c r="B3174" s="2" t="n">
        <v>42913.6853125</v>
      </c>
      <c r="C3174" t="n">
        <v>0</v>
      </c>
      <c r="D3174" t="n">
        <v>0</v>
      </c>
      <c r="E3174" t="s">
        <v>3183</v>
      </c>
      <c r="F3174" t="s"/>
      <c r="G3174" t="s"/>
      <c r="H3174" t="s"/>
      <c r="I3174" t="s"/>
      <c r="J3174" t="n">
        <v>0</v>
      </c>
      <c r="K3174" t="n">
        <v>0</v>
      </c>
      <c r="L3174" t="n">
        <v>1</v>
      </c>
      <c r="M3174" t="n">
        <v>0</v>
      </c>
    </row>
    <row r="3175" spans="1:13">
      <c r="A3175" s="1">
        <f>HYPERLINK("http://www.twitter.com/NathanBLawrence/status/879737270915485696", "879737270915485696")</f>
        <v/>
      </c>
      <c r="B3175" s="2" t="n">
        <v>42913.6838425926</v>
      </c>
      <c r="C3175" t="n">
        <v>0</v>
      </c>
      <c r="D3175" t="n">
        <v>1</v>
      </c>
      <c r="E3175" t="s">
        <v>3184</v>
      </c>
      <c r="F3175" t="s"/>
      <c r="G3175" t="s"/>
      <c r="H3175" t="s"/>
      <c r="I3175" t="s"/>
      <c r="J3175" t="n">
        <v>0</v>
      </c>
      <c r="K3175" t="n">
        <v>0</v>
      </c>
      <c r="L3175" t="n">
        <v>1</v>
      </c>
      <c r="M3175" t="n">
        <v>0</v>
      </c>
    </row>
    <row r="3176" spans="1:13">
      <c r="A3176" s="1">
        <f>HYPERLINK("http://www.twitter.com/NathanBLawrence/status/879737117542363136", "879737117542363136")</f>
        <v/>
      </c>
      <c r="B3176" s="2" t="n">
        <v>42913.68342592593</v>
      </c>
      <c r="C3176" t="n">
        <v>0</v>
      </c>
      <c r="D3176" t="n">
        <v>1</v>
      </c>
      <c r="E3176" t="s">
        <v>3185</v>
      </c>
      <c r="F3176" t="s"/>
      <c r="G3176" t="s"/>
      <c r="H3176" t="s"/>
      <c r="I3176" t="s"/>
      <c r="J3176" t="n">
        <v>0</v>
      </c>
      <c r="K3176" t="n">
        <v>0</v>
      </c>
      <c r="L3176" t="n">
        <v>1</v>
      </c>
      <c r="M3176" t="n">
        <v>0</v>
      </c>
    </row>
    <row r="3177" spans="1:13">
      <c r="A3177" s="1">
        <f>HYPERLINK("http://www.twitter.com/NathanBLawrence/status/879734246331600897", "879734246331600897")</f>
        <v/>
      </c>
      <c r="B3177" s="2" t="n">
        <v>42913.67549768519</v>
      </c>
      <c r="C3177" t="n">
        <v>0</v>
      </c>
      <c r="D3177" t="n">
        <v>0</v>
      </c>
      <c r="E3177" t="s">
        <v>3186</v>
      </c>
      <c r="F3177" t="s"/>
      <c r="G3177" t="s"/>
      <c r="H3177" t="s"/>
      <c r="I3177" t="s"/>
      <c r="J3177" t="n">
        <v>0</v>
      </c>
      <c r="K3177" t="n">
        <v>0</v>
      </c>
      <c r="L3177" t="n">
        <v>1</v>
      </c>
      <c r="M3177" t="n">
        <v>0</v>
      </c>
    </row>
    <row r="3178" spans="1:13">
      <c r="A3178" s="1">
        <f>HYPERLINK("http://www.twitter.com/NathanBLawrence/status/879728173256253440", "879728173256253440")</f>
        <v/>
      </c>
      <c r="B3178" s="2" t="n">
        <v>42913.65873842593</v>
      </c>
      <c r="C3178" t="n">
        <v>0</v>
      </c>
      <c r="D3178" t="n">
        <v>0</v>
      </c>
      <c r="E3178" t="s">
        <v>3187</v>
      </c>
      <c r="F3178" t="s"/>
      <c r="G3178" t="s"/>
      <c r="H3178" t="s"/>
      <c r="I3178" t="s"/>
      <c r="J3178" t="n">
        <v>0</v>
      </c>
      <c r="K3178" t="n">
        <v>0</v>
      </c>
      <c r="L3178" t="n">
        <v>1</v>
      </c>
      <c r="M3178" t="n">
        <v>0</v>
      </c>
    </row>
    <row r="3179" spans="1:13">
      <c r="A3179" s="1">
        <f>HYPERLINK("http://www.twitter.com/NathanBLawrence/status/879721094768467968", "879721094768467968")</f>
        <v/>
      </c>
      <c r="B3179" s="2" t="n">
        <v>42913.63921296296</v>
      </c>
      <c r="C3179" t="n">
        <v>0</v>
      </c>
      <c r="D3179" t="n">
        <v>8207</v>
      </c>
      <c r="E3179" t="s">
        <v>3188</v>
      </c>
      <c r="F3179">
        <f>HYPERLINK("https://video.twimg.com/ext_tw_video/879644716387766273/pu/vid/1280x720/oki30hSS4jk8uxUs.mp4", "https://video.twimg.com/ext_tw_video/879644716387766273/pu/vid/1280x720/oki30hSS4jk8uxUs.mp4")</f>
        <v/>
      </c>
      <c r="G3179" t="s"/>
      <c r="H3179" t="s"/>
      <c r="I3179" t="s"/>
      <c r="J3179" t="n">
        <v>0.4926</v>
      </c>
      <c r="K3179" t="n">
        <v>0</v>
      </c>
      <c r="L3179" t="n">
        <v>0.803</v>
      </c>
      <c r="M3179" t="n">
        <v>0.197</v>
      </c>
    </row>
    <row r="3180" spans="1:13">
      <c r="A3180" s="1">
        <f>HYPERLINK("http://www.twitter.com/NathanBLawrence/status/879719940194000896", "879719940194000896")</f>
        <v/>
      </c>
      <c r="B3180" s="2" t="n">
        <v>42913.63601851852</v>
      </c>
      <c r="C3180" t="n">
        <v>0</v>
      </c>
      <c r="D3180" t="n">
        <v>1</v>
      </c>
      <c r="E3180" t="s">
        <v>3189</v>
      </c>
      <c r="F3180" t="s"/>
      <c r="G3180" t="s"/>
      <c r="H3180" t="s"/>
      <c r="I3180" t="s"/>
      <c r="J3180" t="n">
        <v>0.1759</v>
      </c>
      <c r="K3180" t="n">
        <v>0.239</v>
      </c>
      <c r="L3180" t="n">
        <v>0.459</v>
      </c>
      <c r="M3180" t="n">
        <v>0.302</v>
      </c>
    </row>
    <row r="3181" spans="1:13">
      <c r="A3181" s="1">
        <f>HYPERLINK("http://www.twitter.com/NathanBLawrence/status/879709346749456384", "879709346749456384")</f>
        <v/>
      </c>
      <c r="B3181" s="2" t="n">
        <v>42913.60679398148</v>
      </c>
      <c r="C3181" t="n">
        <v>1</v>
      </c>
      <c r="D3181" t="n">
        <v>0</v>
      </c>
      <c r="E3181" t="s">
        <v>3190</v>
      </c>
      <c r="F3181" t="s"/>
      <c r="G3181" t="s"/>
      <c r="H3181" t="s"/>
      <c r="I3181" t="s"/>
      <c r="J3181" t="n">
        <v>0</v>
      </c>
      <c r="K3181" t="n">
        <v>0</v>
      </c>
      <c r="L3181" t="n">
        <v>1</v>
      </c>
      <c r="M3181" t="n">
        <v>0</v>
      </c>
    </row>
    <row r="3182" spans="1:13">
      <c r="A3182" s="1">
        <f>HYPERLINK("http://www.twitter.com/NathanBLawrence/status/879548837555261441", "879548837555261441")</f>
        <v/>
      </c>
      <c r="B3182" s="2" t="n">
        <v>42913.16386574074</v>
      </c>
      <c r="C3182" t="n">
        <v>0</v>
      </c>
      <c r="D3182" t="n">
        <v>369</v>
      </c>
      <c r="E3182" t="s">
        <v>3191</v>
      </c>
      <c r="F3182" t="s"/>
      <c r="G3182" t="s"/>
      <c r="H3182" t="s"/>
      <c r="I3182" t="s"/>
      <c r="J3182" t="n">
        <v>0</v>
      </c>
      <c r="K3182" t="n">
        <v>0</v>
      </c>
      <c r="L3182" t="n">
        <v>1</v>
      </c>
      <c r="M3182" t="n">
        <v>0</v>
      </c>
    </row>
  </sheetData>
  <pageMargins bottom="1" footer="0.5" header="0.5" left="0.75" right="0.75" top="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2018-05-08T06:29:32Z</dcterms:created>
  <dcterms:modified xmlns:dcterms="http://purl.org/dc/terms/" xmlns:xsi="http://www.w3.org/2001/XMLSchema-instance" xsi:type="dcterms:W3CDTF">2018-05-08T06:29:32Z</dcterms:modified>
</cp:coreProperties>
</file>