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5754f58900b5005/Documents/ECE41_413/"/>
    </mc:Choice>
  </mc:AlternateContent>
  <xr:revisionPtr revIDLastSave="567" documentId="8_{8714C078-3746-4CDC-8366-3CF6C0496AB0}" xr6:coauthVersionLast="47" xr6:coauthVersionMax="47" xr10:uidLastSave="{6020403D-B5EA-4460-A230-5BDF0BE687EC}"/>
  <bookViews>
    <workbookView xWindow="-90" yWindow="0" windowWidth="14490" windowHeight="16010" xr2:uid="{125BC698-6383-4C32-B98B-768D94B27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D55" i="1"/>
  <c r="E60" i="1"/>
  <c r="D60" i="1"/>
  <c r="E65" i="1"/>
  <c r="D65" i="1"/>
  <c r="D54" i="1"/>
  <c r="J39" i="1"/>
  <c r="J38" i="1"/>
  <c r="J37" i="1"/>
  <c r="E59" i="1"/>
  <c r="D59" i="1"/>
  <c r="E54" i="1"/>
  <c r="E63" i="1"/>
  <c r="D63" i="1"/>
  <c r="D58" i="1"/>
  <c r="E58" i="1"/>
  <c r="D53" i="1"/>
  <c r="E53" i="1"/>
  <c r="E62" i="1"/>
  <c r="E64" i="1" s="1"/>
  <c r="D62" i="1"/>
  <c r="D64" i="1" s="1"/>
  <c r="E57" i="1"/>
  <c r="D57" i="1"/>
  <c r="E52" i="1"/>
  <c r="D52" i="1"/>
  <c r="D45" i="1"/>
  <c r="D44" i="1"/>
  <c r="C45" i="1"/>
  <c r="C44" i="1"/>
  <c r="D35" i="1"/>
  <c r="D34" i="1"/>
  <c r="C35" i="1"/>
  <c r="C34" i="1"/>
  <c r="D25" i="1"/>
  <c r="D24" i="1"/>
  <c r="C25" i="1"/>
  <c r="C24" i="1"/>
  <c r="B62" i="1"/>
  <c r="B57" i="1"/>
  <c r="B52" i="1"/>
  <c r="D4" i="1"/>
  <c r="C4" i="1"/>
  <c r="K33" i="1"/>
  <c r="I33" i="1"/>
  <c r="I37" i="1" s="1"/>
  <c r="I43" i="1" s="1"/>
  <c r="C20" i="1"/>
  <c r="I19" i="1"/>
  <c r="D3" i="1"/>
  <c r="C3" i="1"/>
  <c r="D39" i="1"/>
  <c r="D38" i="1"/>
  <c r="I20" i="1"/>
  <c r="C30" i="1"/>
  <c r="D29" i="1"/>
  <c r="D28" i="1"/>
  <c r="H45" i="1"/>
  <c r="H44" i="1"/>
  <c r="H43" i="1"/>
  <c r="I39" i="1"/>
  <c r="I45" i="1" s="1"/>
  <c r="I38" i="1"/>
  <c r="I44" i="1" s="1"/>
  <c r="I21" i="1"/>
  <c r="H27" i="1"/>
  <c r="H26" i="1"/>
  <c r="H25" i="1"/>
  <c r="D19" i="1"/>
  <c r="D18" i="1"/>
  <c r="H5" i="1"/>
  <c r="C8" i="1" s="1"/>
  <c r="H8" i="1"/>
  <c r="H11" i="1"/>
  <c r="C9" i="1" s="1"/>
  <c r="C11" i="1" l="1"/>
  <c r="C22" i="1" s="1"/>
  <c r="D11" i="1"/>
  <c r="D22" i="1" s="1"/>
  <c r="C40" i="1"/>
  <c r="C10" i="1"/>
  <c r="C21" i="1" s="1"/>
  <c r="J19" i="1"/>
  <c r="I25" i="1"/>
  <c r="J21" i="1"/>
  <c r="J20" i="1"/>
  <c r="I26" i="1"/>
  <c r="C13" i="1"/>
  <c r="E13" i="1" s="1"/>
  <c r="I27" i="1"/>
  <c r="D10" i="1"/>
  <c r="D21" i="1" s="1"/>
  <c r="C32" i="1" l="1"/>
  <c r="D32" i="1"/>
  <c r="D31" i="1"/>
  <c r="C31" i="1"/>
  <c r="D42" i="1"/>
  <c r="C42" i="1"/>
  <c r="D41" i="1"/>
  <c r="C41" i="1"/>
  <c r="J45" i="1"/>
  <c r="J44" i="1"/>
  <c r="J27" i="1"/>
  <c r="J43" i="1"/>
  <c r="J25" i="1"/>
  <c r="J26" i="1"/>
  <c r="M21" i="1" l="1"/>
  <c r="M20" i="1"/>
  <c r="M19" i="1"/>
</calcChain>
</file>

<file path=xl/sharedStrings.xml><?xml version="1.0" encoding="utf-8"?>
<sst xmlns="http://schemas.openxmlformats.org/spreadsheetml/2006/main" count="115" uniqueCount="53">
  <si>
    <t>Coulomb Circuit</t>
  </si>
  <si>
    <t xml:space="preserve">Min </t>
  </si>
  <si>
    <t>Max</t>
  </si>
  <si>
    <t>Capacitor:</t>
  </si>
  <si>
    <t>pico</t>
  </si>
  <si>
    <t>tau:</t>
  </si>
  <si>
    <t>Resistor:</t>
  </si>
  <si>
    <t>Giga</t>
  </si>
  <si>
    <t>Amplifier 1</t>
  </si>
  <si>
    <t>R1:</t>
  </si>
  <si>
    <t>R2:</t>
  </si>
  <si>
    <t>Minimum Charge ADC can detect:</t>
  </si>
  <si>
    <t>Bit size:</t>
  </si>
  <si>
    <t>(very minimum)</t>
  </si>
  <si>
    <t>Min charge in fempto:</t>
  </si>
  <si>
    <t>Mega</t>
  </si>
  <si>
    <t>5 second tau rule:</t>
  </si>
  <si>
    <t>Charge Range :</t>
  </si>
  <si>
    <t>pF</t>
  </si>
  <si>
    <r>
      <t>G</t>
    </r>
    <r>
      <rPr>
        <sz val="11"/>
        <color theme="1"/>
        <rFont val="Calibri"/>
        <family val="2"/>
      </rPr>
      <t>Ω</t>
    </r>
  </si>
  <si>
    <t>V</t>
  </si>
  <si>
    <t>Max Voltage In:</t>
  </si>
  <si>
    <t>Min Voltage in V:</t>
  </si>
  <si>
    <r>
      <t xml:space="preserve">Min Voltage in </t>
    </r>
    <r>
      <rPr>
        <sz val="11"/>
        <color theme="1"/>
        <rFont val="Calibri"/>
        <family val="2"/>
      </rPr>
      <t>μ</t>
    </r>
    <r>
      <rPr>
        <sz val="11"/>
        <color theme="1"/>
        <rFont val="Aptos Narrow"/>
        <family val="2"/>
        <scheme val="minor"/>
      </rPr>
      <t>V:</t>
    </r>
  </si>
  <si>
    <t>Min Charge in C:</t>
  </si>
  <si>
    <t>kΩ</t>
  </si>
  <si>
    <t>Fits ADC ?                     (Can read min V and is less than max V)</t>
  </si>
  <si>
    <t>Virtual GND:</t>
  </si>
  <si>
    <t>Gain 1</t>
  </si>
  <si>
    <t>Gain 2</t>
  </si>
  <si>
    <t>Gain 3</t>
  </si>
  <si>
    <t>Gain 1:</t>
  </si>
  <si>
    <t>Gain 2:</t>
  </si>
  <si>
    <t>Gain 3:</t>
  </si>
  <si>
    <t>R3:</t>
  </si>
  <si>
    <t>R0:</t>
  </si>
  <si>
    <t xml:space="preserve"> Voltage</t>
  </si>
  <si>
    <t>Standard ADC</t>
  </si>
  <si>
    <t>ADC when we have adjustable gain and don't use full range</t>
  </si>
  <si>
    <t>Effective Bit depth:</t>
  </si>
  <si>
    <t>Max Voltage able:</t>
  </si>
  <si>
    <t>out of 14 bits</t>
  </si>
  <si>
    <t>With Virtual GND (+):</t>
  </si>
  <si>
    <t>With Virtual GND (-):</t>
  </si>
  <si>
    <t>Vout 1 Range (+):</t>
  </si>
  <si>
    <t>Vout 1 Range (-):</t>
  </si>
  <si>
    <t>Output Range (- V1):</t>
  </si>
  <si>
    <t>Output Range (+ V1):</t>
  </si>
  <si>
    <t>Scaling factor</t>
  </si>
  <si>
    <t>Effective Ranges</t>
  </si>
  <si>
    <t>Min</t>
  </si>
  <si>
    <t>Charge +/-</t>
  </si>
  <si>
    <t>in fempto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</si>
</sst>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E+00"/>
    <numFmt numFmtId="165" formatCode="0.0000000"/>
    <numFmt numFmtId="166" formatCode="0.000000"/>
    <numFmt numFmtId="167" formatCode="0.00000"/>
    <numFmt numFmtId="168" formatCode="0.00000000"/>
    <numFmt numFmtId="169" formatCode="0.0"/>
    <numFmt numFmtId="170" formatCode="0.00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169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7" fontId="0" fillId="0" borderId="5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69" fontId="0" fillId="0" borderId="5" xfId="0" applyNumberFormat="1" applyBorder="1"/>
    <xf numFmtId="168" fontId="0" fillId="0" borderId="0" xfId="0" applyNumberFormat="1"/>
    <xf numFmtId="165" fontId="0" fillId="0" borderId="8" xfId="0" applyNumberFormat="1" applyBorder="1"/>
    <xf numFmtId="165" fontId="0" fillId="0" borderId="6" xfId="0" applyNumberFormat="1" applyBorder="1"/>
    <xf numFmtId="170" fontId="0" fillId="0" borderId="8" xfId="0" applyNumberFormat="1" applyBorder="1"/>
    <xf numFmtId="168" fontId="0" fillId="0" borderId="5" xfId="0" applyNumberFormat="1" applyBorder="1"/>
    <xf numFmtId="0" fontId="0" fillId="0" borderId="0" xfId="0" applyAlignment="1">
      <alignment horizontal="center" vertical="center" wrapText="1"/>
    </xf>
    <xf numFmtId="0" fontId="0" fillId="0" borderId="7" xfId="0" applyFill="1" applyBorder="1"/>
    <xf numFmtId="170" fontId="0" fillId="0" borderId="6" xfId="0" applyNumberFormat="1" applyBorder="1"/>
    <xf numFmtId="0" fontId="0" fillId="0" borderId="0" xfId="0" applyFill="1" applyBorder="1"/>
    <xf numFmtId="0" fontId="0" fillId="0" borderId="0" xfId="0" applyBorder="1"/>
    <xf numFmtId="166" fontId="0" fillId="0" borderId="5" xfId="0" applyNumberFormat="1" applyBorder="1"/>
    <xf numFmtId="1" fontId="0" fillId="0" borderId="0" xfId="0" applyNumberFormat="1" applyFill="1" applyBorder="1"/>
    <xf numFmtId="9" fontId="0" fillId="0" borderId="0" xfId="1" applyFont="1"/>
    <xf numFmtId="0" fontId="1" fillId="0" borderId="1" xfId="0" applyFont="1" applyBorder="1"/>
    <xf numFmtId="166" fontId="0" fillId="0" borderId="0" xfId="0" applyNumberFormat="1" applyBorder="1"/>
    <xf numFmtId="169" fontId="0" fillId="0" borderId="0" xfId="0" applyNumberFormat="1" applyBorder="1"/>
    <xf numFmtId="2" fontId="0" fillId="0" borderId="5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167" fontId="0" fillId="0" borderId="0" xfId="0" applyNumberFormat="1" applyBorder="1"/>
    <xf numFmtId="0" fontId="0" fillId="0" borderId="5" xfId="0" applyFill="1" applyBorder="1"/>
    <xf numFmtId="0" fontId="0" fillId="0" borderId="2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2" xfId="0" applyNumberFormat="1" applyBorder="1"/>
    <xf numFmtId="11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88FB-05C8-49B4-A925-123CB0BB7A08}">
  <dimension ref="A2:M65"/>
  <sheetViews>
    <sheetView tabSelected="1" topLeftCell="A28" zoomScale="87" workbookViewId="0">
      <selection activeCell="H67" sqref="H67"/>
    </sheetView>
  </sheetViews>
  <sheetFormatPr defaultRowHeight="14.5" x14ac:dyDescent="0.35"/>
  <cols>
    <col min="2" max="2" width="17.90625" customWidth="1"/>
    <col min="3" max="3" width="18" customWidth="1"/>
    <col min="4" max="4" width="16.26953125" customWidth="1"/>
    <col min="5" max="5" width="10.81640625" bestFit="1" customWidth="1"/>
    <col min="6" max="6" width="6" customWidth="1"/>
    <col min="7" max="7" width="7.453125" customWidth="1"/>
    <col min="8" max="8" width="15.81640625" customWidth="1"/>
    <col min="9" max="9" width="20.6328125" customWidth="1"/>
    <col min="10" max="10" width="19.453125" customWidth="1"/>
    <col min="11" max="11" width="8.54296875" customWidth="1"/>
    <col min="12" max="12" width="16.08984375" customWidth="1"/>
  </cols>
  <sheetData>
    <row r="2" spans="2:10" x14ac:dyDescent="0.35">
      <c r="B2" s="4"/>
      <c r="C2" s="5" t="s">
        <v>1</v>
      </c>
      <c r="D2" s="5" t="s">
        <v>2</v>
      </c>
      <c r="E2" s="6"/>
    </row>
    <row r="3" spans="2:10" x14ac:dyDescent="0.35">
      <c r="B3" s="39" t="s">
        <v>17</v>
      </c>
      <c r="C3" s="5">
        <f>-1*10^(-15)</f>
        <v>-1.0000000000000001E-15</v>
      </c>
      <c r="D3" s="5">
        <f>-100*10^(-12)</f>
        <v>-1E-10</v>
      </c>
      <c r="E3" s="6"/>
    </row>
    <row r="4" spans="2:10" x14ac:dyDescent="0.35">
      <c r="B4" s="7"/>
      <c r="C4" s="8">
        <f>1*10^(-15)</f>
        <v>1.0000000000000001E-15</v>
      </c>
      <c r="D4" s="8">
        <f>100*10^(-12)</f>
        <v>1E-10</v>
      </c>
      <c r="E4" s="9"/>
      <c r="H4" s="10" t="s">
        <v>4</v>
      </c>
    </row>
    <row r="5" spans="2:10" x14ac:dyDescent="0.35">
      <c r="H5" s="10">
        <f>10^(-12)</f>
        <v>9.9999999999999998E-13</v>
      </c>
    </row>
    <row r="6" spans="2:10" x14ac:dyDescent="0.35">
      <c r="B6" s="2" t="s">
        <v>0</v>
      </c>
    </row>
    <row r="7" spans="2:10" x14ac:dyDescent="0.35">
      <c r="H7" s="11" t="s">
        <v>15</v>
      </c>
    </row>
    <row r="8" spans="2:10" x14ac:dyDescent="0.35">
      <c r="B8" s="4" t="s">
        <v>3</v>
      </c>
      <c r="C8" s="5">
        <f>D8*H5</f>
        <v>1E-10</v>
      </c>
      <c r="D8" s="5">
        <v>100</v>
      </c>
      <c r="E8" s="6" t="s">
        <v>18</v>
      </c>
      <c r="H8" s="12">
        <f>10^6</f>
        <v>1000000</v>
      </c>
    </row>
    <row r="9" spans="2:10" x14ac:dyDescent="0.35">
      <c r="B9" s="15" t="s">
        <v>6</v>
      </c>
      <c r="C9" s="16">
        <f>D9*H11</f>
        <v>5000000000</v>
      </c>
      <c r="D9">
        <v>5</v>
      </c>
      <c r="E9" s="17" t="s">
        <v>19</v>
      </c>
    </row>
    <row r="10" spans="2:10" x14ac:dyDescent="0.35">
      <c r="B10" s="15" t="s">
        <v>46</v>
      </c>
      <c r="C10" s="18">
        <f>C3/C8</f>
        <v>-1.0000000000000001E-5</v>
      </c>
      <c r="D10">
        <f>D3/C8</f>
        <v>-1</v>
      </c>
      <c r="E10" s="17" t="s">
        <v>20</v>
      </c>
      <c r="H10" s="13" t="s">
        <v>7</v>
      </c>
    </row>
    <row r="11" spans="2:10" x14ac:dyDescent="0.35">
      <c r="B11" s="15" t="s">
        <v>47</v>
      </c>
      <c r="C11" s="18">
        <f>C4/C8</f>
        <v>1.0000000000000001E-5</v>
      </c>
      <c r="D11">
        <f>D4/C8</f>
        <v>1</v>
      </c>
      <c r="E11" s="17" t="s">
        <v>20</v>
      </c>
      <c r="H11" s="14">
        <f>10^(9)</f>
        <v>1000000000</v>
      </c>
    </row>
    <row r="12" spans="2:10" x14ac:dyDescent="0.35">
      <c r="B12" s="15"/>
      <c r="C12" s="35"/>
      <c r="D12" s="35"/>
      <c r="E12" s="17"/>
    </row>
    <row r="13" spans="2:10" x14ac:dyDescent="0.35">
      <c r="B13" s="7" t="s">
        <v>5</v>
      </c>
      <c r="C13" s="42">
        <f>C9*C8</f>
        <v>0.5</v>
      </c>
      <c r="D13" s="43" t="s">
        <v>16</v>
      </c>
      <c r="E13" s="44">
        <f>C13*5</f>
        <v>2.5</v>
      </c>
    </row>
    <row r="14" spans="2:10" x14ac:dyDescent="0.35">
      <c r="B14" s="32" t="s">
        <v>27</v>
      </c>
      <c r="C14">
        <v>4.5</v>
      </c>
      <c r="D14" t="s">
        <v>20</v>
      </c>
      <c r="H14" s="2" t="s">
        <v>37</v>
      </c>
    </row>
    <row r="15" spans="2:10" x14ac:dyDescent="0.35">
      <c r="H15" t="s">
        <v>21</v>
      </c>
      <c r="I15">
        <v>12</v>
      </c>
      <c r="J15" s="3" t="s">
        <v>36</v>
      </c>
    </row>
    <row r="16" spans="2:10" x14ac:dyDescent="0.35">
      <c r="B16" s="2" t="s">
        <v>8</v>
      </c>
    </row>
    <row r="17" spans="1:13" x14ac:dyDescent="0.35">
      <c r="H17" s="2" t="s">
        <v>11</v>
      </c>
    </row>
    <row r="18" spans="1:13" ht="14.5" customHeight="1" x14ac:dyDescent="0.35">
      <c r="A18" s="2" t="s">
        <v>28</v>
      </c>
      <c r="B18" s="4" t="s">
        <v>35</v>
      </c>
      <c r="C18" s="5">
        <v>10000</v>
      </c>
      <c r="D18" s="5">
        <f>C18/(10^3)</f>
        <v>10</v>
      </c>
      <c r="E18" s="6" t="s">
        <v>25</v>
      </c>
      <c r="H18" s="22" t="s">
        <v>12</v>
      </c>
      <c r="I18" s="23" t="s">
        <v>22</v>
      </c>
      <c r="J18" s="24" t="s">
        <v>24</v>
      </c>
      <c r="L18" s="31" t="s">
        <v>26</v>
      </c>
    </row>
    <row r="19" spans="1:13" ht="14.5" customHeight="1" x14ac:dyDescent="0.35">
      <c r="B19" s="15" t="s">
        <v>9</v>
      </c>
      <c r="C19">
        <v>40000</v>
      </c>
      <c r="D19">
        <f>C19/(10^3)</f>
        <v>40</v>
      </c>
      <c r="E19" s="17" t="s">
        <v>25</v>
      </c>
      <c r="H19" s="15">
        <v>14</v>
      </c>
      <c r="I19" s="26">
        <f>$I$15/2^H19</f>
        <v>7.32421875E-4</v>
      </c>
      <c r="J19" s="29">
        <f>$C$8*(I19/$C$20)</f>
        <v>1.8310546875E-14</v>
      </c>
      <c r="K19" s="20"/>
      <c r="L19" s="31"/>
      <c r="M19" t="b">
        <f>AND(ABS(C22)&gt;I19, ABS(D22)&lt;I15)</f>
        <v>0</v>
      </c>
    </row>
    <row r="20" spans="1:13" x14ac:dyDescent="0.35">
      <c r="B20" s="15" t="s">
        <v>31</v>
      </c>
      <c r="C20" s="1">
        <f>C19/C18</f>
        <v>4</v>
      </c>
      <c r="E20" s="17"/>
      <c r="H20" s="15">
        <v>18</v>
      </c>
      <c r="I20" s="26">
        <f>$I$15/2^H20</f>
        <v>4.57763671875E-5</v>
      </c>
      <c r="J20" s="29">
        <f>$C$8*(I20/$C$20)</f>
        <v>1.1444091796875E-15</v>
      </c>
      <c r="K20" s="20"/>
      <c r="L20" s="31"/>
      <c r="M20" t="b">
        <f>AND(ABS(C22)&gt;I20, ABS(D22)&lt;I15)</f>
        <v>0</v>
      </c>
    </row>
    <row r="21" spans="1:13" x14ac:dyDescent="0.35">
      <c r="B21" s="15" t="s">
        <v>45</v>
      </c>
      <c r="C21" s="40">
        <f>-C20*$C$10</f>
        <v>4.0000000000000003E-5</v>
      </c>
      <c r="D21" s="41">
        <f>-C20*$D$10</f>
        <v>4</v>
      </c>
      <c r="E21" s="17"/>
      <c r="H21" s="7">
        <v>20</v>
      </c>
      <c r="I21" s="30">
        <f t="shared" ref="I21" si="0">$I$15/2^H21</f>
        <v>1.1444091796875E-5</v>
      </c>
      <c r="J21" s="33">
        <f>$C$8*(I21/$C$20)</f>
        <v>2.86102294921875E-16</v>
      </c>
      <c r="K21" s="20"/>
      <c r="L21" s="31"/>
      <c r="M21" t="b">
        <f>AND(ABS(C22)&gt;I21, ABS(D22)&lt;I15)</f>
        <v>1</v>
      </c>
    </row>
    <row r="22" spans="1:13" x14ac:dyDescent="0.35">
      <c r="A22" s="35"/>
      <c r="B22" s="7" t="s">
        <v>44</v>
      </c>
      <c r="C22" s="36">
        <f>-C20*$C$11</f>
        <v>-4.0000000000000003E-5</v>
      </c>
      <c r="D22" s="25">
        <f>-C20*$D$11</f>
        <v>-4</v>
      </c>
      <c r="E22" s="9" t="s">
        <v>20</v>
      </c>
      <c r="I22" t="s">
        <v>13</v>
      </c>
    </row>
    <row r="24" spans="1:13" x14ac:dyDescent="0.35">
      <c r="B24" s="34" t="s">
        <v>43</v>
      </c>
      <c r="C24" s="19">
        <f>C21+C14</f>
        <v>4.5000400000000003</v>
      </c>
      <c r="D24" s="19">
        <f>D21+C14</f>
        <v>8.5</v>
      </c>
      <c r="E24" t="s">
        <v>20</v>
      </c>
      <c r="H24" s="22" t="s">
        <v>12</v>
      </c>
      <c r="I24" s="23" t="s">
        <v>23</v>
      </c>
      <c r="J24" s="24" t="s">
        <v>14</v>
      </c>
      <c r="K24" s="15"/>
    </row>
    <row r="25" spans="1:13" x14ac:dyDescent="0.35">
      <c r="B25" s="34" t="s">
        <v>42</v>
      </c>
      <c r="C25" s="19">
        <f>C22+C14</f>
        <v>4.4999599999999997</v>
      </c>
      <c r="D25" s="19">
        <f>D22+C14</f>
        <v>0.5</v>
      </c>
      <c r="E25" t="s">
        <v>20</v>
      </c>
      <c r="H25" s="15">
        <f>H19</f>
        <v>14</v>
      </c>
      <c r="I25" s="19">
        <f>I19*10^6</f>
        <v>732.421875</v>
      </c>
      <c r="J25" s="27">
        <f>J19*10^15</f>
        <v>18.310546875</v>
      </c>
    </row>
    <row r="26" spans="1:13" x14ac:dyDescent="0.35">
      <c r="H26" s="15">
        <f>H20</f>
        <v>18</v>
      </c>
      <c r="I26" s="19">
        <f t="shared" ref="I26:I27" si="1">I20*10^6</f>
        <v>45.7763671875</v>
      </c>
      <c r="J26" s="27">
        <f t="shared" ref="J26:J27" si="2">J20*10^15</f>
        <v>1.1444091796875</v>
      </c>
    </row>
    <row r="27" spans="1:13" x14ac:dyDescent="0.35">
      <c r="H27" s="7">
        <f>H21</f>
        <v>20</v>
      </c>
      <c r="I27" s="21">
        <f t="shared" si="1"/>
        <v>11.444091796875</v>
      </c>
      <c r="J27" s="28">
        <f t="shared" si="2"/>
        <v>0.286102294921875</v>
      </c>
    </row>
    <row r="28" spans="1:13" x14ac:dyDescent="0.35">
      <c r="A28" s="2" t="s">
        <v>29</v>
      </c>
      <c r="B28" s="4" t="s">
        <v>35</v>
      </c>
      <c r="C28" s="5">
        <v>10000</v>
      </c>
      <c r="D28" s="5">
        <f>C28/(10^3)</f>
        <v>10</v>
      </c>
      <c r="E28" s="6" t="s">
        <v>25</v>
      </c>
    </row>
    <row r="29" spans="1:13" x14ac:dyDescent="0.35">
      <c r="B29" s="15" t="s">
        <v>10</v>
      </c>
      <c r="C29">
        <v>150000</v>
      </c>
      <c r="D29">
        <f>C29/(10^3)</f>
        <v>150</v>
      </c>
      <c r="E29" s="17" t="s">
        <v>25</v>
      </c>
    </row>
    <row r="30" spans="1:13" x14ac:dyDescent="0.35">
      <c r="B30" s="15" t="s">
        <v>32</v>
      </c>
      <c r="C30" s="1">
        <f>C29/C28</f>
        <v>15</v>
      </c>
      <c r="E30" s="17"/>
      <c r="H30" s="2" t="s">
        <v>38</v>
      </c>
    </row>
    <row r="31" spans="1:13" x14ac:dyDescent="0.35">
      <c r="B31" s="15" t="s">
        <v>45</v>
      </c>
      <c r="C31" s="40">
        <f>-C30*$C$10</f>
        <v>1.5000000000000001E-4</v>
      </c>
      <c r="D31" s="41">
        <f>-C30*$D$10</f>
        <v>15</v>
      </c>
      <c r="E31" s="17"/>
      <c r="H31" t="s">
        <v>40</v>
      </c>
      <c r="I31">
        <v>9</v>
      </c>
      <c r="J31" t="s">
        <v>20</v>
      </c>
    </row>
    <row r="32" spans="1:13" x14ac:dyDescent="0.35">
      <c r="A32" s="35"/>
      <c r="B32" s="7" t="s">
        <v>44</v>
      </c>
      <c r="C32" s="36">
        <f>-C30*$C$11</f>
        <v>-1.5000000000000001E-4</v>
      </c>
      <c r="D32" s="25">
        <f>-C30*$D$11</f>
        <v>-15</v>
      </c>
      <c r="E32" s="9" t="s">
        <v>20</v>
      </c>
    </row>
    <row r="33" spans="1:11" x14ac:dyDescent="0.35">
      <c r="H33" t="s">
        <v>39</v>
      </c>
      <c r="I33" t="str">
        <f>IMLOG2(I31/I15*2^H37)</f>
        <v>13.5849625007212</v>
      </c>
      <c r="J33" t="s">
        <v>41</v>
      </c>
      <c r="K33" s="38">
        <f>I31/I15</f>
        <v>0.75</v>
      </c>
    </row>
    <row r="34" spans="1:11" x14ac:dyDescent="0.35">
      <c r="B34" s="34" t="s">
        <v>43</v>
      </c>
      <c r="C34" s="19">
        <f>C31+C14</f>
        <v>4.5001499999999997</v>
      </c>
      <c r="D34" s="19">
        <f>D31+C14</f>
        <v>19.5</v>
      </c>
      <c r="E34" t="s">
        <v>20</v>
      </c>
    </row>
    <row r="35" spans="1:11" x14ac:dyDescent="0.35">
      <c r="B35" s="34" t="s">
        <v>42</v>
      </c>
      <c r="C35" s="19">
        <f>C32+C14</f>
        <v>4.4998500000000003</v>
      </c>
      <c r="D35" s="19">
        <f>D32+C14</f>
        <v>-10.5</v>
      </c>
      <c r="E35" t="s">
        <v>20</v>
      </c>
      <c r="H35" s="2" t="s">
        <v>11</v>
      </c>
    </row>
    <row r="36" spans="1:11" x14ac:dyDescent="0.35">
      <c r="H36" s="22" t="s">
        <v>12</v>
      </c>
      <c r="I36" s="23" t="s">
        <v>22</v>
      </c>
      <c r="J36" s="24" t="s">
        <v>24</v>
      </c>
    </row>
    <row r="37" spans="1:11" x14ac:dyDescent="0.35">
      <c r="G37" t="s">
        <v>31</v>
      </c>
      <c r="H37" s="15">
        <v>14</v>
      </c>
      <c r="I37" s="26">
        <f>$I$31/2^I33</f>
        <v>7.3242187499997756E-4</v>
      </c>
      <c r="J37" s="29">
        <f>$C$8*(I37/C20)</f>
        <v>1.8310546874999438E-14</v>
      </c>
    </row>
    <row r="38" spans="1:11" x14ac:dyDescent="0.35">
      <c r="A38" s="2" t="s">
        <v>30</v>
      </c>
      <c r="B38" s="4" t="s">
        <v>35</v>
      </c>
      <c r="C38" s="5">
        <v>10000</v>
      </c>
      <c r="D38" s="5">
        <f>C38/(10^3)</f>
        <v>10</v>
      </c>
      <c r="E38" s="6" t="s">
        <v>25</v>
      </c>
      <c r="G38" t="s">
        <v>32</v>
      </c>
      <c r="H38" s="15">
        <v>14</v>
      </c>
      <c r="I38" s="26">
        <f t="shared" ref="I38:I39" si="3">$I$15/2^H38</f>
        <v>7.32421875E-4</v>
      </c>
      <c r="J38" s="29">
        <f>$C$8*(I38/C30)</f>
        <v>4.8828125000000005E-15</v>
      </c>
    </row>
    <row r="39" spans="1:11" x14ac:dyDescent="0.35">
      <c r="B39" s="15" t="s">
        <v>34</v>
      </c>
      <c r="C39">
        <v>470000</v>
      </c>
      <c r="D39">
        <f>C39/(10^3)</f>
        <v>470</v>
      </c>
      <c r="E39" s="17" t="s">
        <v>25</v>
      </c>
      <c r="G39" t="s">
        <v>33</v>
      </c>
      <c r="H39" s="7">
        <v>14</v>
      </c>
      <c r="I39" s="30">
        <f t="shared" si="3"/>
        <v>7.32421875E-4</v>
      </c>
      <c r="J39" s="33">
        <f>$C$8*(I39/C40)</f>
        <v>1.558344414893617E-15</v>
      </c>
    </row>
    <row r="40" spans="1:11" x14ac:dyDescent="0.35">
      <c r="B40" s="15" t="s">
        <v>33</v>
      </c>
      <c r="C40" s="1">
        <f>D39/D38</f>
        <v>47</v>
      </c>
      <c r="E40" s="17"/>
      <c r="I40" t="s">
        <v>13</v>
      </c>
    </row>
    <row r="41" spans="1:11" x14ac:dyDescent="0.35">
      <c r="B41" s="15" t="s">
        <v>45</v>
      </c>
      <c r="C41" s="40">
        <f>-C40*$C$10</f>
        <v>4.7000000000000004E-4</v>
      </c>
      <c r="D41" s="41">
        <f>-C40*$D$10</f>
        <v>47</v>
      </c>
      <c r="E41" s="17"/>
    </row>
    <row r="42" spans="1:11" x14ac:dyDescent="0.35">
      <c r="A42" s="35"/>
      <c r="B42" s="7" t="s">
        <v>44</v>
      </c>
      <c r="C42" s="36">
        <f>-C40*$C$11</f>
        <v>-4.7000000000000004E-4</v>
      </c>
      <c r="D42" s="25">
        <f>-C40*$D$11</f>
        <v>-47</v>
      </c>
      <c r="E42" s="9" t="s">
        <v>20</v>
      </c>
      <c r="H42" s="22" t="s">
        <v>12</v>
      </c>
      <c r="I42" s="23" t="s">
        <v>23</v>
      </c>
      <c r="J42" s="24" t="s">
        <v>14</v>
      </c>
    </row>
    <row r="43" spans="1:11" x14ac:dyDescent="0.35">
      <c r="G43" t="s">
        <v>31</v>
      </c>
      <c r="H43" s="15">
        <f>H37</f>
        <v>14</v>
      </c>
      <c r="I43" s="19">
        <f>I37*10^6</f>
        <v>732.4218749999776</v>
      </c>
      <c r="J43" s="27">
        <f>J37*10^15</f>
        <v>18.310546874999439</v>
      </c>
    </row>
    <row r="44" spans="1:11" x14ac:dyDescent="0.35">
      <c r="B44" s="34" t="s">
        <v>43</v>
      </c>
      <c r="C44" s="19">
        <f>C41+C14</f>
        <v>4.50047</v>
      </c>
      <c r="D44" s="19">
        <f>D41+C14</f>
        <v>51.5</v>
      </c>
      <c r="E44" t="s">
        <v>20</v>
      </c>
      <c r="G44" t="s">
        <v>32</v>
      </c>
      <c r="H44" s="15">
        <f>H38</f>
        <v>14</v>
      </c>
      <c r="I44" s="19">
        <f t="shared" ref="I44:I45" si="4">I38*10^6</f>
        <v>732.421875</v>
      </c>
      <c r="J44" s="27">
        <f t="shared" ref="J44:J45" si="5">J38*10^15</f>
        <v>4.8828125000000009</v>
      </c>
    </row>
    <row r="45" spans="1:11" x14ac:dyDescent="0.35">
      <c r="B45" s="34" t="s">
        <v>42</v>
      </c>
      <c r="C45" s="19">
        <f>C42+C14</f>
        <v>4.49953</v>
      </c>
      <c r="D45" s="19">
        <f>D42+C14</f>
        <v>-42.5</v>
      </c>
      <c r="E45" t="s">
        <v>20</v>
      </c>
      <c r="G45" t="s">
        <v>33</v>
      </c>
      <c r="H45" s="7">
        <f>H39</f>
        <v>14</v>
      </c>
      <c r="I45" s="21">
        <f t="shared" si="4"/>
        <v>732.421875</v>
      </c>
      <c r="J45" s="28">
        <f t="shared" si="5"/>
        <v>1.558344414893617</v>
      </c>
    </row>
    <row r="47" spans="1:11" x14ac:dyDescent="0.35">
      <c r="B47" s="34"/>
      <c r="C47" s="37"/>
      <c r="D47" s="34"/>
      <c r="E47" s="34"/>
    </row>
    <row r="48" spans="1:11" x14ac:dyDescent="0.35">
      <c r="B48" s="2" t="s">
        <v>49</v>
      </c>
      <c r="E48" s="34"/>
    </row>
    <row r="49" spans="1:8" x14ac:dyDescent="0.35">
      <c r="D49" s="19"/>
    </row>
    <row r="50" spans="1:8" x14ac:dyDescent="0.35">
      <c r="B50" t="s">
        <v>48</v>
      </c>
      <c r="D50" t="s">
        <v>50</v>
      </c>
      <c r="E50" t="s">
        <v>2</v>
      </c>
    </row>
    <row r="52" spans="1:8" x14ac:dyDescent="0.35">
      <c r="A52" s="2" t="s">
        <v>28</v>
      </c>
      <c r="B52" s="48">
        <f>C19/C19</f>
        <v>1</v>
      </c>
      <c r="C52" s="47" t="s">
        <v>43</v>
      </c>
      <c r="D52" s="50">
        <f>$C$14+($C$24-$C$14)*$B52</f>
        <v>4.5000400000000003</v>
      </c>
      <c r="E52" s="50">
        <f>$C$14+($D$24-$C$14)*$B52</f>
        <v>8.5</v>
      </c>
      <c r="F52" s="6" t="s">
        <v>20</v>
      </c>
    </row>
    <row r="53" spans="1:8" x14ac:dyDescent="0.35">
      <c r="B53" s="49"/>
      <c r="C53" s="46" t="s">
        <v>42</v>
      </c>
      <c r="D53" s="36">
        <f>$C$14+($D$25-$C$14)*$B52</f>
        <v>0.5</v>
      </c>
      <c r="E53" s="36">
        <f>$C$14+($C$25-$C$14)*$B52</f>
        <v>4.4999599999999997</v>
      </c>
      <c r="F53" s="9" t="s">
        <v>20</v>
      </c>
      <c r="H53" s="45"/>
    </row>
    <row r="54" spans="1:8" x14ac:dyDescent="0.35">
      <c r="C54" t="s">
        <v>51</v>
      </c>
      <c r="D54" s="51">
        <f>(D52-$C$14)/$C20*$C$8</f>
        <v>1.0000000000065512E-15</v>
      </c>
      <c r="E54" s="51">
        <f>(E52-$C$14)/$C20*$C$8</f>
        <v>1E-10</v>
      </c>
      <c r="H54" s="35"/>
    </row>
    <row r="55" spans="1:8" x14ac:dyDescent="0.35">
      <c r="C55" t="s">
        <v>52</v>
      </c>
      <c r="D55" s="52">
        <f>D54*10^15</f>
        <v>1.0000000000065512</v>
      </c>
      <c r="E55" s="52">
        <f>E54*10^15</f>
        <v>100000</v>
      </c>
      <c r="H55" s="35"/>
    </row>
    <row r="56" spans="1:8" x14ac:dyDescent="0.35">
      <c r="H56" s="35"/>
    </row>
    <row r="57" spans="1:8" x14ac:dyDescent="0.35">
      <c r="A57" s="2" t="s">
        <v>29</v>
      </c>
      <c r="B57" s="48">
        <f>C19/C29</f>
        <v>0.26666666666666666</v>
      </c>
      <c r="C57" s="47" t="s">
        <v>43</v>
      </c>
      <c r="D57" s="50">
        <f>$C$14+($C$24-$C$14)*$B57</f>
        <v>4.5000106666666664</v>
      </c>
      <c r="E57" s="50">
        <f>$C$14+($D$24-$C$14)*$B57</f>
        <v>5.5666666666666664</v>
      </c>
      <c r="F57" s="6" t="s">
        <v>20</v>
      </c>
      <c r="H57" s="45"/>
    </row>
    <row r="58" spans="1:8" x14ac:dyDescent="0.35">
      <c r="B58" s="49"/>
      <c r="C58" s="46" t="s">
        <v>42</v>
      </c>
      <c r="D58" s="36">
        <f>$C$14+($D$25-$C$14)*$B57</f>
        <v>3.4333333333333336</v>
      </c>
      <c r="E58" s="36">
        <f>$C$14+($C$25-$C$14)*$B57</f>
        <v>4.4999893333333336</v>
      </c>
      <c r="F58" s="9" t="s">
        <v>20</v>
      </c>
      <c r="H58" s="35"/>
    </row>
    <row r="59" spans="1:8" x14ac:dyDescent="0.35">
      <c r="C59" t="s">
        <v>51</v>
      </c>
      <c r="D59" s="51">
        <f>(D57-$C$14)/$C30*$C$8</f>
        <v>7.1111111109208501E-17</v>
      </c>
      <c r="E59" s="51">
        <f>(E57-$C$14)/$C30*$C$8</f>
        <v>7.1111111111111103E-12</v>
      </c>
      <c r="H59" s="35"/>
    </row>
    <row r="60" spans="1:8" x14ac:dyDescent="0.35">
      <c r="C60" t="s">
        <v>52</v>
      </c>
      <c r="D60" s="52">
        <f>D59*10^15</f>
        <v>7.1111111109208508E-2</v>
      </c>
      <c r="E60" s="52">
        <f>E59*10^15</f>
        <v>7111.1111111111104</v>
      </c>
      <c r="H60" s="35"/>
    </row>
    <row r="61" spans="1:8" x14ac:dyDescent="0.35">
      <c r="H61" s="45"/>
    </row>
    <row r="62" spans="1:8" x14ac:dyDescent="0.35">
      <c r="A62" s="2" t="s">
        <v>30</v>
      </c>
      <c r="B62" s="48">
        <f>C19/C39</f>
        <v>8.5106382978723402E-2</v>
      </c>
      <c r="C62" s="47" t="s">
        <v>43</v>
      </c>
      <c r="D62" s="50">
        <f>$C$14+($C$24-$C$14)*$B62</f>
        <v>4.5000034042553194</v>
      </c>
      <c r="E62" s="50">
        <f>$C$14+($D$24-$C$14)*$B62</f>
        <v>4.8404255319148932</v>
      </c>
      <c r="F62" s="6" t="s">
        <v>20</v>
      </c>
      <c r="H62" s="35"/>
    </row>
    <row r="63" spans="1:8" x14ac:dyDescent="0.35">
      <c r="B63" s="49"/>
      <c r="C63" s="46" t="s">
        <v>42</v>
      </c>
      <c r="D63" s="36">
        <f>$C$14+($D$25-$C$14)*$B62</f>
        <v>4.1595744680851068</v>
      </c>
      <c r="E63" s="36">
        <f>$C$14+($C$25-$C$14)*$B62</f>
        <v>4.4999965957446806</v>
      </c>
      <c r="F63" s="9" t="s">
        <v>20</v>
      </c>
    </row>
    <row r="64" spans="1:8" x14ac:dyDescent="0.35">
      <c r="C64" t="s">
        <v>51</v>
      </c>
      <c r="D64" s="51">
        <f>(D62-$C$14)/$C40*$C$8</f>
        <v>7.2430964242912861E-18</v>
      </c>
      <c r="E64" s="51">
        <f>(E62-$C$14)/$C40*$C$8</f>
        <v>7.2430964237211326E-13</v>
      </c>
    </row>
    <row r="65" spans="3:5" x14ac:dyDescent="0.35">
      <c r="C65" t="s">
        <v>52</v>
      </c>
      <c r="D65" s="52">
        <f>D64*10^15</f>
        <v>7.2430964242912862E-3</v>
      </c>
      <c r="E65" s="52">
        <f>E64*10^15</f>
        <v>724.30964237211322</v>
      </c>
    </row>
  </sheetData>
  <mergeCells count="4">
    <mergeCell ref="B62:B63"/>
    <mergeCell ref="L18:L21"/>
    <mergeCell ref="B52:B53"/>
    <mergeCell ref="B57:B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Boyd</dc:creator>
  <cp:lastModifiedBy>Annika Boyd</cp:lastModifiedBy>
  <dcterms:created xsi:type="dcterms:W3CDTF">2025-02-01T21:18:40Z</dcterms:created>
  <dcterms:modified xsi:type="dcterms:W3CDTF">2025-02-18T21:53:47Z</dcterms:modified>
</cp:coreProperties>
</file>