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filterPrivacy="1" defaultThemeVersion="124226"/>
  <xr:revisionPtr revIDLastSave="0" documentId="13_ncr:1_{24A279E5-515E-47BA-B39B-0F5ECBB50D00}" xr6:coauthVersionLast="47" xr6:coauthVersionMax="47" xr10:uidLastSave="{00000000-0000-0000-0000-000000000000}"/>
  <bookViews>
    <workbookView xWindow="-22128" yWindow="108" windowWidth="17280" windowHeight="12360" xr2:uid="{00000000-000D-0000-FFFF-FFFF00000000}"/>
  </bookViews>
  <sheets>
    <sheet name="Sheet1" sheetId="1" r:id="rId1"/>
    <sheet name="Mat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1" l="1"/>
  <c r="C37" i="1"/>
  <c r="B37" i="1"/>
  <c r="D28" i="1"/>
  <c r="D11" i="1"/>
  <c r="E13" i="1" l="1"/>
  <c r="E11" i="1"/>
  <c r="D13" i="1"/>
  <c r="B16" i="1"/>
  <c r="F16" i="1" s="1"/>
  <c r="D16" i="1" l="1"/>
  <c r="F11" i="1"/>
  <c r="C27" i="1" l="1"/>
  <c r="E27" i="1" s="1"/>
  <c r="B27" i="1"/>
  <c r="D27" i="1" s="1"/>
  <c r="C16" i="1"/>
  <c r="G16" i="1" l="1"/>
  <c r="E16" i="1"/>
  <c r="G27" i="1"/>
  <c r="F27" i="1"/>
  <c r="G24" i="1"/>
  <c r="F24" i="1"/>
  <c r="C24" i="1"/>
  <c r="C23" i="1"/>
  <c r="B23" i="1"/>
  <c r="F23" i="1" s="1"/>
  <c r="B24" i="1"/>
  <c r="B25" i="1"/>
  <c r="D25" i="1" s="1"/>
  <c r="C36" i="1"/>
  <c r="B36" i="1"/>
  <c r="G36" i="1" s="1"/>
  <c r="C35" i="1"/>
  <c r="G35" i="1" s="1"/>
  <c r="G39" i="1" s="1"/>
  <c r="F25" i="1"/>
  <c r="G13" i="1"/>
  <c r="G12" i="1"/>
  <c r="G11" i="1"/>
  <c r="B4" i="1"/>
  <c r="F13" i="1"/>
  <c r="F12" i="1"/>
  <c r="G3" i="1"/>
  <c r="F3" i="1"/>
  <c r="G23" i="1" l="1"/>
  <c r="E23" i="1"/>
  <c r="D23" i="1"/>
  <c r="D30" i="1" s="1"/>
  <c r="F36" i="1"/>
  <c r="C39" i="1"/>
  <c r="B35" i="1"/>
  <c r="F35" i="1" s="1"/>
  <c r="C25" i="1"/>
  <c r="E25" i="1" s="1"/>
  <c r="C26" i="1"/>
  <c r="E26" i="1" s="1"/>
  <c r="B26" i="1"/>
  <c r="D26" i="1" s="1"/>
  <c r="C15" i="1"/>
  <c r="E15" i="1" s="1"/>
  <c r="B15" i="1"/>
  <c r="D15" i="1" s="1"/>
  <c r="C8" i="2"/>
  <c r="B8" i="2"/>
  <c r="C4" i="1"/>
  <c r="G4" i="1" s="1"/>
  <c r="G7" i="1" s="1"/>
  <c r="C3" i="1"/>
  <c r="C7" i="1" s="1"/>
  <c r="B3" i="1"/>
  <c r="B7" i="1" s="1"/>
  <c r="E30" i="1" l="1"/>
  <c r="F39" i="1"/>
  <c r="F26" i="1"/>
  <c r="F30" i="1" s="1"/>
  <c r="G26" i="1"/>
  <c r="F15" i="1"/>
  <c r="G15" i="1"/>
  <c r="G25" i="1"/>
  <c r="B30" i="1"/>
  <c r="C30" i="1"/>
  <c r="B39" i="1"/>
  <c r="F4" i="1"/>
  <c r="F7" i="1" s="1"/>
  <c r="C14" i="1"/>
  <c r="E14" i="1" s="1"/>
  <c r="E19" i="1" s="1"/>
  <c r="B14" i="1"/>
  <c r="D14" i="1" s="1"/>
  <c r="D19" i="1" s="1"/>
  <c r="G30" i="1" l="1"/>
  <c r="F14" i="1"/>
  <c r="F19" i="1" s="1"/>
  <c r="B19" i="1"/>
  <c r="G14" i="1"/>
  <c r="G19" i="1" s="1"/>
  <c r="C19" i="1"/>
</calcChain>
</file>

<file path=xl/sharedStrings.xml><?xml version="1.0" encoding="utf-8"?>
<sst xmlns="http://schemas.openxmlformats.org/spreadsheetml/2006/main" count="66" uniqueCount="47">
  <si>
    <t>Item</t>
  </si>
  <si>
    <t>Travel</t>
  </si>
  <si>
    <t>Equipment</t>
  </si>
  <si>
    <t>Notes</t>
  </si>
  <si>
    <t>Camera x 1</t>
  </si>
  <si>
    <t>Amount Low</t>
  </si>
  <si>
    <t>Amount High</t>
  </si>
  <si>
    <t>Labor (1 observer vs 2 observers)</t>
  </si>
  <si>
    <t>gaiters</t>
  </si>
  <si>
    <t>hook</t>
  </si>
  <si>
    <t>burrow cam</t>
  </si>
  <si>
    <t>Camera Surveys (1 fence camera)</t>
  </si>
  <si>
    <t>Drift Fence Supplies</t>
  </si>
  <si>
    <t>TOTAL</t>
  </si>
  <si>
    <t>processing/sampling equip</t>
  </si>
  <si>
    <t>GPS</t>
  </si>
  <si>
    <t>Occupancy</t>
  </si>
  <si>
    <t>Supplies</t>
  </si>
  <si>
    <t>4 hour day</t>
  </si>
  <si>
    <t>Photo processing</t>
  </si>
  <si>
    <t>Trencher</t>
  </si>
  <si>
    <t>Season (20 sites X 3 visits) - Low</t>
  </si>
  <si>
    <t>Season (20 sites X 3 visits) - High</t>
  </si>
  <si>
    <t>Season: assumes multiple sites in 1 day a few times a season. 2 observer only 50% of the time</t>
  </si>
  <si>
    <t>Hard to estimate at a per-survey cost. A lot of mostly one-time purchases.</t>
  </si>
  <si>
    <t>High is more realistic because we do a lot of surveys with multiple observers</t>
  </si>
  <si>
    <t>Season (20 sites - 1 fence / site) - Low</t>
  </si>
  <si>
    <t>Season (20 sites - 1 fence / site) - High</t>
  </si>
  <si>
    <t>Season costs shifts to a weekly amount (cheaper)</t>
  </si>
  <si>
    <t>Season (20 sites - 3 cameras / site) - Low</t>
  </si>
  <si>
    <t>Season (20 sites - 3 cameras / site) - High</t>
  </si>
  <si>
    <t>Field Time</t>
  </si>
  <si>
    <t>Season (20 sites, 3 repeat surveys, 20 samples)</t>
  </si>
  <si>
    <t>Field time</t>
  </si>
  <si>
    <t>Camera Surveys (3 burrow cameras)</t>
  </si>
  <si>
    <t>eDNA Surveys (1 eDNA survey - 20 samples)</t>
  </si>
  <si>
    <t>Visual Surveys (1 survey)</t>
  </si>
  <si>
    <t>1 fence / site at 1 site - Low</t>
  </si>
  <si>
    <t>1 fence / site at 1 site - High</t>
  </si>
  <si>
    <t>1 camera / site at 1 site - Low</t>
  </si>
  <si>
    <t>1 camera / site at 1 site - High</t>
  </si>
  <si>
    <t>Fence = 75 vs 150 photos per 5 days. Season is 20 cameras for 16 weeks</t>
  </si>
  <si>
    <t>Burrow 7500 vs 9000 photos per 5 days. Season is over 16 weeks.</t>
  </si>
  <si>
    <t>For single cameras, camera cost depreciated over 10 years because lifetime of camera</t>
  </si>
  <si>
    <t>Camera and trencher divided by 10 for per camera costs because lifetime of camera ~ 10 years</t>
  </si>
  <si>
    <t>Camera repair costs (+ equipment)</t>
  </si>
  <si>
    <t>Sample Processing (shipping, kits,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</si>
</sst>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/>
    <xf numFmtId="164" fontId="0" fillId="4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workbookViewId="0">
      <selection activeCell="B41" sqref="B41"/>
    </sheetView>
  </sheetViews>
  <sheetFormatPr defaultRowHeight="14.5" x14ac:dyDescent="0.35"/>
  <cols>
    <col min="1" max="1" width="30.54296875" bestFit="1" customWidth="1"/>
    <col min="2" max="2" width="12.1796875" style="1" bestFit="1" customWidth="1"/>
    <col min="3" max="3" width="12.54296875" style="1" bestFit="1" customWidth="1"/>
    <col min="4" max="4" width="26.81640625" style="1" bestFit="1" customWidth="1"/>
    <col min="5" max="5" width="27.26953125" style="1" bestFit="1" customWidth="1"/>
    <col min="6" max="7" width="43" style="1" bestFit="1" customWidth="1"/>
    <col min="8" max="8" width="85.7265625" style="1" bestFit="1" customWidth="1"/>
  </cols>
  <sheetData>
    <row r="1" spans="1:8" x14ac:dyDescent="0.35">
      <c r="A1" s="10" t="s">
        <v>36</v>
      </c>
      <c r="B1" s="10"/>
      <c r="C1" s="4"/>
      <c r="D1" s="4"/>
      <c r="E1" s="4"/>
      <c r="F1" s="4"/>
      <c r="G1" s="4"/>
      <c r="H1" s="3"/>
    </row>
    <row r="2" spans="1:8" x14ac:dyDescent="0.35">
      <c r="A2" s="1" t="s">
        <v>0</v>
      </c>
      <c r="B2" s="1" t="s">
        <v>5</v>
      </c>
      <c r="C2" s="1" t="s">
        <v>6</v>
      </c>
      <c r="F2" s="1" t="s">
        <v>21</v>
      </c>
      <c r="G2" s="1" t="s">
        <v>22</v>
      </c>
      <c r="H2" s="1" t="s">
        <v>3</v>
      </c>
    </row>
    <row r="3" spans="1:8" x14ac:dyDescent="0.35">
      <c r="A3" t="s">
        <v>7</v>
      </c>
      <c r="B3" s="6">
        <f>15*8</f>
        <v>120</v>
      </c>
      <c r="C3" s="6">
        <f>15*2*8</f>
        <v>240</v>
      </c>
      <c r="D3" s="6"/>
      <c r="E3" s="6"/>
      <c r="F3" s="6">
        <f>15*8*50</f>
        <v>6000</v>
      </c>
      <c r="G3" s="6">
        <f>15*8*50*1.5</f>
        <v>9000</v>
      </c>
      <c r="H3" s="1" t="s">
        <v>23</v>
      </c>
    </row>
    <row r="4" spans="1:8" x14ac:dyDescent="0.35">
      <c r="A4" t="s">
        <v>1</v>
      </c>
      <c r="B4" s="6">
        <f>25*0.67*2</f>
        <v>33.5</v>
      </c>
      <c r="C4" s="6">
        <f>100*0.67*2</f>
        <v>134</v>
      </c>
      <c r="D4" s="6"/>
      <c r="E4" s="6"/>
      <c r="F4" s="6">
        <f>B4*25 + C4*25</f>
        <v>4187.5</v>
      </c>
      <c r="G4" s="6">
        <f>B4*25 + C4*25</f>
        <v>4187.5</v>
      </c>
    </row>
    <row r="5" spans="1:8" x14ac:dyDescent="0.35">
      <c r="A5" t="s">
        <v>2</v>
      </c>
      <c r="B5" s="6">
        <v>27</v>
      </c>
      <c r="C5" s="6">
        <v>73</v>
      </c>
      <c r="D5" s="6"/>
      <c r="E5" s="6"/>
      <c r="F5" s="6">
        <v>1600</v>
      </c>
      <c r="G5" s="6">
        <v>4350</v>
      </c>
      <c r="H5" s="1" t="s">
        <v>24</v>
      </c>
    </row>
    <row r="6" spans="1:8" x14ac:dyDescent="0.35">
      <c r="B6" s="6"/>
      <c r="C6" s="6"/>
      <c r="D6" s="6"/>
      <c r="E6" s="6"/>
      <c r="F6" s="6"/>
      <c r="G6" s="6"/>
    </row>
    <row r="7" spans="1:8" x14ac:dyDescent="0.35">
      <c r="A7" t="s">
        <v>13</v>
      </c>
      <c r="B7" s="6">
        <f>SUM(B3:B5)</f>
        <v>180.5</v>
      </c>
      <c r="C7" s="6">
        <f>SUM(C3:C5)</f>
        <v>447</v>
      </c>
      <c r="D7" s="6"/>
      <c r="E7" s="6"/>
      <c r="F7" s="6">
        <f t="shared" ref="F7:G7" si="0">SUM(F3:F5)</f>
        <v>11787.5</v>
      </c>
      <c r="G7" s="6">
        <f t="shared" si="0"/>
        <v>17537.5</v>
      </c>
      <c r="H7" s="1" t="s">
        <v>25</v>
      </c>
    </row>
    <row r="9" spans="1:8" x14ac:dyDescent="0.35">
      <c r="A9" s="10" t="s">
        <v>11</v>
      </c>
      <c r="B9" s="10"/>
      <c r="C9" s="5"/>
      <c r="D9" s="5"/>
      <c r="E9" s="5"/>
      <c r="F9" s="5"/>
      <c r="G9" s="5"/>
      <c r="H9" s="5"/>
    </row>
    <row r="10" spans="1:8" x14ac:dyDescent="0.35">
      <c r="A10" s="1" t="s">
        <v>0</v>
      </c>
      <c r="B10" s="1" t="s">
        <v>5</v>
      </c>
      <c r="C10" s="1" t="s">
        <v>6</v>
      </c>
      <c r="D10" s="7" t="s">
        <v>37</v>
      </c>
      <c r="E10" s="7" t="s">
        <v>38</v>
      </c>
      <c r="F10" s="1" t="s">
        <v>26</v>
      </c>
      <c r="G10" s="1" t="s">
        <v>27</v>
      </c>
    </row>
    <row r="11" spans="1:8" x14ac:dyDescent="0.35">
      <c r="A11" s="2" t="s">
        <v>4</v>
      </c>
      <c r="B11" s="6">
        <v>200</v>
      </c>
      <c r="C11" s="6">
        <v>550</v>
      </c>
      <c r="D11" s="6">
        <f>C11/8</f>
        <v>68.75</v>
      </c>
      <c r="E11" s="6">
        <f>C11/10</f>
        <v>55</v>
      </c>
      <c r="F11" s="6">
        <f>B11*20</f>
        <v>4000</v>
      </c>
      <c r="G11" s="6">
        <f>C11*20</f>
        <v>11000</v>
      </c>
      <c r="H11" s="1" t="s">
        <v>44</v>
      </c>
    </row>
    <row r="12" spans="1:8" x14ac:dyDescent="0.35">
      <c r="A12" t="s">
        <v>12</v>
      </c>
      <c r="B12" s="6">
        <v>240</v>
      </c>
      <c r="C12" s="6">
        <v>310</v>
      </c>
      <c r="D12" s="6">
        <v>240</v>
      </c>
      <c r="E12" s="6">
        <v>310</v>
      </c>
      <c r="F12" s="6">
        <f>B12*20</f>
        <v>4800</v>
      </c>
      <c r="G12" s="6">
        <f>C12*20</f>
        <v>6200</v>
      </c>
    </row>
    <row r="13" spans="1:8" x14ac:dyDescent="0.35">
      <c r="A13" t="s">
        <v>20</v>
      </c>
      <c r="B13" s="6">
        <v>105</v>
      </c>
      <c r="C13" s="6">
        <v>105</v>
      </c>
      <c r="D13" s="6">
        <f>C13/10</f>
        <v>10.5</v>
      </c>
      <c r="E13" s="6">
        <f>C13/10</f>
        <v>10.5</v>
      </c>
      <c r="F13" s="6">
        <f>420*4</f>
        <v>1680</v>
      </c>
      <c r="G13" s="6">
        <f>420*4</f>
        <v>1680</v>
      </c>
      <c r="H13" s="1" t="s">
        <v>28</v>
      </c>
    </row>
    <row r="14" spans="1:8" x14ac:dyDescent="0.35">
      <c r="A14" t="s">
        <v>31</v>
      </c>
      <c r="B14" s="6">
        <f>15*8</f>
        <v>120</v>
      </c>
      <c r="C14" s="6">
        <f>15*2*8</f>
        <v>240</v>
      </c>
      <c r="D14" s="6">
        <f>B14*2</f>
        <v>240</v>
      </c>
      <c r="E14" s="6">
        <f>C14*2</f>
        <v>480</v>
      </c>
      <c r="F14" s="6">
        <f>B14*20 + B14*20*0.5</f>
        <v>3600</v>
      </c>
      <c r="G14" s="6">
        <f>C14*20 + C14*20*0.5</f>
        <v>7200</v>
      </c>
    </row>
    <row r="15" spans="1:8" x14ac:dyDescent="0.35">
      <c r="A15" t="s">
        <v>1</v>
      </c>
      <c r="B15" s="6">
        <f>25*0.67*2</f>
        <v>33.5</v>
      </c>
      <c r="C15" s="6">
        <f>100*0.67*2</f>
        <v>134</v>
      </c>
      <c r="D15" s="6">
        <f>B15*3</f>
        <v>100.5</v>
      </c>
      <c r="E15" s="6">
        <f>C15*3</f>
        <v>402</v>
      </c>
      <c r="F15" s="6">
        <f>B15*10*2 + C15*10*2</f>
        <v>3350</v>
      </c>
      <c r="G15" s="6">
        <f>B15*10*2 + C15*10*2</f>
        <v>3350</v>
      </c>
    </row>
    <row r="16" spans="1:8" x14ac:dyDescent="0.35">
      <c r="A16" t="s">
        <v>19</v>
      </c>
      <c r="B16" s="6">
        <f>15*75/4300</f>
        <v>0.26162790697674421</v>
      </c>
      <c r="C16" s="6">
        <f>15*150/4300</f>
        <v>0.52325581395348841</v>
      </c>
      <c r="D16" s="6">
        <f>B16*16</f>
        <v>4.1860465116279073</v>
      </c>
      <c r="E16" s="6">
        <f>C16*16</f>
        <v>8.3720930232558146</v>
      </c>
      <c r="F16" s="6">
        <f>B16*20*16</f>
        <v>83.720930232558146</v>
      </c>
      <c r="G16" s="6">
        <f>C16*20*16</f>
        <v>167.44186046511629</v>
      </c>
      <c r="H16" s="1" t="s">
        <v>41</v>
      </c>
    </row>
    <row r="17" spans="1:8" x14ac:dyDescent="0.35">
      <c r="A17" t="s">
        <v>45</v>
      </c>
      <c r="B17" s="6"/>
      <c r="C17" s="6"/>
      <c r="D17" s="6">
        <v>6.25</v>
      </c>
      <c r="E17" s="6">
        <v>50</v>
      </c>
      <c r="F17" s="6"/>
      <c r="G17" s="6"/>
    </row>
    <row r="18" spans="1:8" x14ac:dyDescent="0.35">
      <c r="B18" s="6"/>
      <c r="C18" s="6"/>
      <c r="D18" s="6"/>
      <c r="E18" s="6"/>
      <c r="F18" s="6"/>
      <c r="G18" s="6"/>
    </row>
    <row r="19" spans="1:8" x14ac:dyDescent="0.35">
      <c r="A19" s="8" t="s">
        <v>13</v>
      </c>
      <c r="B19" s="6">
        <f t="shared" ref="B19:G19" si="1">SUM(B11:B16)</f>
        <v>698.76162790697674</v>
      </c>
      <c r="C19" s="6">
        <f t="shared" si="1"/>
        <v>1339.5232558139535</v>
      </c>
      <c r="D19" s="9">
        <f>SUM(D11:D17)</f>
        <v>670.18604651162786</v>
      </c>
      <c r="E19" s="9">
        <f>SUM(E11:E17)</f>
        <v>1315.8720930232557</v>
      </c>
      <c r="F19" s="6">
        <f t="shared" si="1"/>
        <v>17513.720930232557</v>
      </c>
      <c r="G19" s="6">
        <f t="shared" si="1"/>
        <v>29597.441860465115</v>
      </c>
    </row>
    <row r="20" spans="1:8" x14ac:dyDescent="0.35">
      <c r="D20" s="6"/>
      <c r="E20" s="6"/>
    </row>
    <row r="21" spans="1:8" x14ac:dyDescent="0.35">
      <c r="A21" s="10" t="s">
        <v>34</v>
      </c>
      <c r="B21" s="10"/>
      <c r="C21" s="5"/>
      <c r="D21" s="5"/>
      <c r="E21" s="5"/>
      <c r="F21" s="5"/>
      <c r="G21" s="5"/>
      <c r="H21" s="5"/>
    </row>
    <row r="22" spans="1:8" x14ac:dyDescent="0.35">
      <c r="A22" s="1" t="s">
        <v>0</v>
      </c>
      <c r="B22" s="1" t="s">
        <v>5</v>
      </c>
      <c r="C22" s="1" t="s">
        <v>6</v>
      </c>
      <c r="D22" s="7" t="s">
        <v>39</v>
      </c>
      <c r="E22" s="7" t="s">
        <v>40</v>
      </c>
      <c r="F22" s="1" t="s">
        <v>29</v>
      </c>
      <c r="G22" s="1" t="s">
        <v>30</v>
      </c>
    </row>
    <row r="23" spans="1:8" x14ac:dyDescent="0.35">
      <c r="A23" s="2" t="s">
        <v>4</v>
      </c>
      <c r="B23" s="6">
        <f>200*3</f>
        <v>600</v>
      </c>
      <c r="C23" s="6">
        <f>550*3</f>
        <v>1650</v>
      </c>
      <c r="D23" s="6">
        <f>C23/3/10</f>
        <v>55</v>
      </c>
      <c r="E23" s="6">
        <f>C23/3/10</f>
        <v>55</v>
      </c>
      <c r="F23" s="6">
        <f>B23*20</f>
        <v>12000</v>
      </c>
      <c r="G23" s="6">
        <f>C23*20</f>
        <v>33000</v>
      </c>
      <c r="H23" s="1" t="s">
        <v>43</v>
      </c>
    </row>
    <row r="24" spans="1:8" x14ac:dyDescent="0.35">
      <c r="A24" t="s">
        <v>17</v>
      </c>
      <c r="B24" s="6">
        <f>25*3</f>
        <v>75</v>
      </c>
      <c r="C24" s="6">
        <f>25*3</f>
        <v>75</v>
      </c>
      <c r="D24" s="6">
        <v>25</v>
      </c>
      <c r="E24" s="6">
        <v>50</v>
      </c>
      <c r="F24" s="6">
        <f>25*20</f>
        <v>500</v>
      </c>
      <c r="G24" s="6">
        <f>25*20</f>
        <v>500</v>
      </c>
    </row>
    <row r="25" spans="1:8" x14ac:dyDescent="0.35">
      <c r="A25" t="s">
        <v>18</v>
      </c>
      <c r="B25" s="6">
        <f>15*4</f>
        <v>60</v>
      </c>
      <c r="C25" s="6">
        <f>15*2*4</f>
        <v>120</v>
      </c>
      <c r="D25" s="6">
        <f>B25*5</f>
        <v>300</v>
      </c>
      <c r="E25" s="6">
        <f>C25*5</f>
        <v>600</v>
      </c>
      <c r="F25" s="6">
        <f>B25*20*2</f>
        <v>2400</v>
      </c>
      <c r="G25" s="6">
        <f>C25*20*2</f>
        <v>4800</v>
      </c>
    </row>
    <row r="26" spans="1:8" x14ac:dyDescent="0.35">
      <c r="A26" t="s">
        <v>1</v>
      </c>
      <c r="B26" s="6">
        <f>25*0.67*2</f>
        <v>33.5</v>
      </c>
      <c r="C26" s="6">
        <f>100*0.67*2</f>
        <v>134</v>
      </c>
      <c r="D26" s="6">
        <f>B26*5</f>
        <v>167.5</v>
      </c>
      <c r="E26" s="6">
        <f>C26*5</f>
        <v>670</v>
      </c>
      <c r="F26" s="6">
        <f>B26*10*2 + C26*10*2</f>
        <v>3350</v>
      </c>
      <c r="G26" s="6">
        <f>B26*10*2 + C26*10*2</f>
        <v>3350</v>
      </c>
    </row>
    <row r="27" spans="1:8" x14ac:dyDescent="0.35">
      <c r="A27" t="s">
        <v>19</v>
      </c>
      <c r="B27" s="6">
        <f>15*7500/4300*3</f>
        <v>78.488372093023258</v>
      </c>
      <c r="C27" s="6">
        <f>15*9000/4300*3</f>
        <v>94.186046511627907</v>
      </c>
      <c r="D27" s="6">
        <f>B27*16</f>
        <v>1255.8139534883721</v>
      </c>
      <c r="E27" s="6">
        <f>C27*16</f>
        <v>1506.9767441860465</v>
      </c>
      <c r="F27" s="6">
        <f>B27*20*12</f>
        <v>18837.20930232558</v>
      </c>
      <c r="G27" s="6">
        <f>C27*20*12</f>
        <v>22604.651162790698</v>
      </c>
      <c r="H27" s="1" t="s">
        <v>42</v>
      </c>
    </row>
    <row r="28" spans="1:8" x14ac:dyDescent="0.35">
      <c r="A28" t="s">
        <v>45</v>
      </c>
      <c r="B28" s="6"/>
      <c r="C28" s="6"/>
      <c r="D28" s="6">
        <f>50/8</f>
        <v>6.25</v>
      </c>
      <c r="E28" s="6">
        <v>50</v>
      </c>
      <c r="F28" s="6"/>
      <c r="G28" s="6"/>
    </row>
    <row r="29" spans="1:8" x14ac:dyDescent="0.35">
      <c r="B29" s="6"/>
      <c r="C29" s="6"/>
      <c r="D29" s="6"/>
      <c r="E29" s="6"/>
      <c r="F29" s="6"/>
      <c r="G29" s="6"/>
    </row>
    <row r="30" spans="1:8" x14ac:dyDescent="0.35">
      <c r="A30" t="s">
        <v>13</v>
      </c>
      <c r="B30" s="6">
        <f>SUM(B23:B27)</f>
        <v>846.98837209302326</v>
      </c>
      <c r="C30" s="6">
        <f>SUM(C23:C27)</f>
        <v>2073.1860465116279</v>
      </c>
      <c r="D30" s="9">
        <f>SUM(D23:D28)</f>
        <v>1809.5639534883721</v>
      </c>
      <c r="E30" s="9">
        <f>SUM(E23:E28)</f>
        <v>2931.9767441860467</v>
      </c>
      <c r="F30" s="6">
        <f>SUM(F23:F27)</f>
        <v>37087.20930232558</v>
      </c>
      <c r="G30" s="6">
        <f>SUM(G23:G27)</f>
        <v>64254.651162790702</v>
      </c>
    </row>
    <row r="31" spans="1:8" x14ac:dyDescent="0.35">
      <c r="D31" s="6"/>
      <c r="E31" s="6"/>
    </row>
    <row r="32" spans="1:8" x14ac:dyDescent="0.35">
      <c r="D32" s="6"/>
    </row>
    <row r="33" spans="1:8" x14ac:dyDescent="0.35">
      <c r="A33" s="10" t="s">
        <v>35</v>
      </c>
      <c r="B33" s="10"/>
      <c r="C33" s="5"/>
      <c r="D33" s="5"/>
      <c r="E33" s="5"/>
      <c r="F33" s="5"/>
      <c r="G33" s="5"/>
      <c r="H33" s="5"/>
    </row>
    <row r="34" spans="1:8" x14ac:dyDescent="0.35">
      <c r="A34" s="1" t="s">
        <v>0</v>
      </c>
      <c r="B34" s="1" t="s">
        <v>5</v>
      </c>
      <c r="C34" s="1" t="s">
        <v>6</v>
      </c>
      <c r="F34" s="1" t="s">
        <v>32</v>
      </c>
      <c r="G34" s="1" t="s">
        <v>32</v>
      </c>
    </row>
    <row r="35" spans="1:8" x14ac:dyDescent="0.35">
      <c r="A35" t="s">
        <v>33</v>
      </c>
      <c r="B35" s="6">
        <f>15*4</f>
        <v>60</v>
      </c>
      <c r="C35" s="6">
        <f>15*6</f>
        <v>90</v>
      </c>
      <c r="D35" s="6"/>
      <c r="E35" s="6"/>
      <c r="F35" s="6">
        <f>B35*20*3</f>
        <v>3600</v>
      </c>
      <c r="G35" s="6">
        <f>C35*20*3</f>
        <v>5400</v>
      </c>
    </row>
    <row r="36" spans="1:8" x14ac:dyDescent="0.35">
      <c r="A36" t="s">
        <v>1</v>
      </c>
      <c r="B36" s="6">
        <f>25*0.67*2</f>
        <v>33.5</v>
      </c>
      <c r="C36" s="6">
        <f>100*0.67*2</f>
        <v>134</v>
      </c>
      <c r="D36" s="6"/>
      <c r="E36" s="6"/>
      <c r="F36" s="6">
        <f>B36*10*3 + C36*10*3</f>
        <v>5025</v>
      </c>
      <c r="G36" s="6">
        <f>B36*10*3 + C36*10*3</f>
        <v>5025</v>
      </c>
    </row>
    <row r="37" spans="1:8" x14ac:dyDescent="0.35">
      <c r="A37" t="s">
        <v>46</v>
      </c>
      <c r="B37" s="12">
        <f>95*20</f>
        <v>1900</v>
      </c>
      <c r="C37" s="12">
        <f>95*20</f>
        <v>1900</v>
      </c>
      <c r="D37" s="12"/>
      <c r="E37" s="12"/>
      <c r="F37" s="12"/>
      <c r="G37" s="12"/>
    </row>
    <row r="38" spans="1:8" x14ac:dyDescent="0.35">
      <c r="B38" s="6"/>
      <c r="C38" s="6"/>
      <c r="D38" s="6"/>
      <c r="E38" s="6"/>
      <c r="F38" s="6"/>
      <c r="G38" s="6"/>
    </row>
    <row r="39" spans="1:8" x14ac:dyDescent="0.35">
      <c r="A39" t="s">
        <v>13</v>
      </c>
      <c r="B39" s="6">
        <f>SUM(B35:B37)</f>
        <v>1993.5</v>
      </c>
      <c r="C39" s="6">
        <f>SUM(C35:C37)</f>
        <v>2124</v>
      </c>
      <c r="D39" s="6"/>
      <c r="E39" s="6"/>
      <c r="F39" s="6">
        <f>SUM(F35:F37)</f>
        <v>8625</v>
      </c>
      <c r="G39" s="6">
        <f>SUM(G35:G37)</f>
        <v>10425</v>
      </c>
    </row>
    <row r="41" spans="1:8" x14ac:dyDescent="0.35">
      <c r="B41" s="6">
        <f>(B39+C39)/2</f>
        <v>2058.75</v>
      </c>
    </row>
  </sheetData>
  <mergeCells count="4">
    <mergeCell ref="A1:B1"/>
    <mergeCell ref="A9:B9"/>
    <mergeCell ref="A21:B21"/>
    <mergeCell ref="A33:B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C6" sqref="C2:C6"/>
    </sheetView>
  </sheetViews>
  <sheetFormatPr defaultRowHeight="14.5" x14ac:dyDescent="0.35"/>
  <cols>
    <col min="1" max="1" width="25.26953125" bestFit="1" customWidth="1"/>
  </cols>
  <sheetData>
    <row r="1" spans="1:3" x14ac:dyDescent="0.35">
      <c r="A1" s="11" t="s">
        <v>16</v>
      </c>
      <c r="B1" s="11"/>
      <c r="C1" s="11"/>
    </row>
    <row r="2" spans="1:3" x14ac:dyDescent="0.35">
      <c r="A2" t="s">
        <v>9</v>
      </c>
      <c r="B2" s="1">
        <v>75</v>
      </c>
      <c r="C2" s="1">
        <v>75</v>
      </c>
    </row>
    <row r="3" spans="1:3" x14ac:dyDescent="0.35">
      <c r="A3" t="s">
        <v>8</v>
      </c>
      <c r="B3" s="1">
        <v>200</v>
      </c>
      <c r="C3" s="1">
        <v>200</v>
      </c>
    </row>
    <row r="4" spans="1:3" x14ac:dyDescent="0.35">
      <c r="A4" t="s">
        <v>10</v>
      </c>
      <c r="B4" s="1"/>
      <c r="C4" s="1">
        <v>2750</v>
      </c>
    </row>
    <row r="5" spans="1:3" x14ac:dyDescent="0.35">
      <c r="A5" t="s">
        <v>14</v>
      </c>
      <c r="B5" s="1">
        <v>1000</v>
      </c>
      <c r="C5" s="1">
        <v>1000</v>
      </c>
    </row>
    <row r="6" spans="1:3" x14ac:dyDescent="0.35">
      <c r="A6" t="s">
        <v>15</v>
      </c>
      <c r="B6" s="1">
        <v>325</v>
      </c>
      <c r="C6" s="1">
        <v>325</v>
      </c>
    </row>
    <row r="7" spans="1:3" x14ac:dyDescent="0.35">
      <c r="C7" s="1"/>
    </row>
    <row r="8" spans="1:3" x14ac:dyDescent="0.35">
      <c r="B8">
        <f>SUM(B2:B6)/60</f>
        <v>26.666666666666668</v>
      </c>
      <c r="C8">
        <f>SUM(C2:C6)/60</f>
        <v>72.5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2025-02-20T00:18:10Z</dcterms:modified>
</cp:coreProperties>
</file>