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Natalie/Desktop/Nudibranchstudy/"/>
    </mc:Choice>
  </mc:AlternateContent>
  <xr:revisionPtr revIDLastSave="0" documentId="8_{CD4440FA-61B8-344D-A6EF-7B84327A175D}" xr6:coauthVersionLast="47" xr6:coauthVersionMax="47" xr10:uidLastSave="{00000000-0000-0000-0000-000000000000}"/>
  <bookViews>
    <workbookView xWindow="300" yWindow="760" windowWidth="26100" windowHeight="13800" activeTab="2" xr2:uid="{00000000-000D-0000-FFFF-FFFF00000000}"/>
  </bookViews>
  <sheets>
    <sheet name="READ ME" sheetId="20" r:id="rId1"/>
    <sheet name="Sponge_abudance-JUN20-21" sheetId="6" r:id="rId2"/>
    <sheet name="Sheet1" sheetId="21" r:id="rId3"/>
    <sheet name="Nudibranch_abundance-JUN-JUL20" sheetId="18" r:id="rId4"/>
    <sheet name="Nudibranch_morphometry" sheetId="17" r:id="rId5"/>
    <sheet name="Feces_production" sheetId="19" r:id="rId6"/>
    <sheet name="Silicon_in_feces" sheetId="3" r:id="rId7"/>
    <sheet name="Sponge skeleton (bSi) content" sheetId="4" r:id="rId8"/>
    <sheet name="Predation-in-situ_experiments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 l="1"/>
  <c r="F5" i="17"/>
  <c r="C11" i="18"/>
  <c r="D24" i="4" l="1"/>
  <c r="C24" i="4"/>
  <c r="E13" i="19" l="1"/>
  <c r="F13" i="19" s="1"/>
  <c r="E12" i="19"/>
  <c r="F12" i="19" s="1"/>
  <c r="E11" i="19"/>
  <c r="F11" i="19" s="1"/>
  <c r="E10" i="19"/>
  <c r="F10" i="19" s="1"/>
  <c r="E9" i="19"/>
  <c r="F9" i="19" s="1"/>
  <c r="E8" i="19"/>
  <c r="F8" i="19" s="1"/>
  <c r="E7" i="19"/>
  <c r="F7" i="19" s="1"/>
  <c r="E6" i="19"/>
  <c r="F6" i="19" s="1"/>
  <c r="D13" i="19"/>
  <c r="D12" i="19"/>
  <c r="D11" i="19"/>
  <c r="D10" i="19"/>
  <c r="D9" i="19"/>
  <c r="D8" i="19"/>
  <c r="D7" i="19"/>
  <c r="D6" i="19"/>
  <c r="G6" i="19" l="1"/>
  <c r="G12" i="19"/>
  <c r="H12" i="19" s="1"/>
  <c r="H6" i="19"/>
  <c r="G13" i="19"/>
  <c r="H13" i="19" s="1"/>
  <c r="G7" i="19"/>
  <c r="H7" i="19" s="1"/>
  <c r="G8" i="19"/>
  <c r="H8" i="19" s="1"/>
  <c r="G11" i="19"/>
  <c r="H11" i="19" s="1"/>
  <c r="G9" i="19"/>
  <c r="H9" i="19" s="1"/>
  <c r="G10" i="19"/>
  <c r="H10" i="19" s="1"/>
  <c r="H16" i="19" l="1"/>
  <c r="H15" i="19"/>
  <c r="G25" i="18"/>
  <c r="E25" i="18"/>
  <c r="C25" i="18"/>
  <c r="G24" i="18"/>
  <c r="C24" i="18"/>
  <c r="G23" i="18"/>
  <c r="E23" i="18"/>
  <c r="C23" i="18"/>
  <c r="E22" i="18"/>
  <c r="C22" i="18"/>
  <c r="G21" i="18"/>
  <c r="E21" i="18"/>
  <c r="G20" i="18"/>
  <c r="E20" i="18"/>
  <c r="C20" i="18"/>
  <c r="G19" i="18"/>
  <c r="E19" i="18"/>
  <c r="C19" i="18"/>
  <c r="G18" i="18"/>
  <c r="E18" i="18"/>
  <c r="C18" i="18"/>
  <c r="G17" i="18"/>
  <c r="E17" i="18"/>
  <c r="C17" i="18"/>
  <c r="E16" i="18"/>
  <c r="C16" i="18"/>
  <c r="G15" i="18"/>
  <c r="E15" i="18"/>
  <c r="C15" i="18"/>
  <c r="G14" i="18"/>
  <c r="E14" i="18"/>
  <c r="C14" i="18"/>
  <c r="G13" i="18"/>
  <c r="E13" i="18"/>
  <c r="C13" i="18"/>
  <c r="G12" i="18"/>
  <c r="C12" i="18"/>
  <c r="G11" i="18"/>
  <c r="E11" i="18"/>
  <c r="G10" i="18"/>
  <c r="E10" i="18"/>
  <c r="K31" i="18" l="1"/>
  <c r="L31" i="18"/>
  <c r="M31" i="18" s="1"/>
  <c r="G16" i="18"/>
  <c r="C10" i="18"/>
  <c r="E12" i="18"/>
  <c r="C21" i="18"/>
  <c r="G22" i="18"/>
  <c r="G28" i="18" s="1"/>
  <c r="L21" i="18" s="1"/>
  <c r="M21" i="18" s="1"/>
  <c r="E24" i="18"/>
  <c r="E28" i="18" l="1"/>
  <c r="L17" i="18" s="1"/>
  <c r="M17" i="18" s="1"/>
  <c r="E27" i="18"/>
  <c r="K17" i="18" s="1"/>
  <c r="G27" i="18"/>
  <c r="K21" i="18" s="1"/>
  <c r="C28" i="18"/>
  <c r="L12" i="18" s="1"/>
  <c r="M12" i="18" s="1"/>
  <c r="C27" i="18"/>
  <c r="K12" i="18" s="1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AF38" i="12" l="1"/>
  <c r="AF39" i="12"/>
  <c r="S51" i="12"/>
  <c r="P50" i="12"/>
  <c r="S50" i="12" s="1"/>
  <c r="S48" i="12"/>
  <c r="T48" i="12" s="1"/>
  <c r="AH40" i="12" s="1"/>
  <c r="I51" i="12"/>
  <c r="S46" i="12"/>
  <c r="F50" i="12"/>
  <c r="I50" i="12" s="1"/>
  <c r="S45" i="12"/>
  <c r="S44" i="12"/>
  <c r="I48" i="12"/>
  <c r="J48" i="12" s="1"/>
  <c r="AG40" i="12" s="1"/>
  <c r="S43" i="12"/>
  <c r="S42" i="12"/>
  <c r="I43" i="12"/>
  <c r="S41" i="12"/>
  <c r="I42" i="12"/>
  <c r="I41" i="12"/>
  <c r="S39" i="12"/>
  <c r="I39" i="12"/>
  <c r="P38" i="12"/>
  <c r="O38" i="12"/>
  <c r="N38" i="12"/>
  <c r="F38" i="12"/>
  <c r="E38" i="12"/>
  <c r="D38" i="12"/>
  <c r="O32" i="12"/>
  <c r="AF7" i="12"/>
  <c r="AF8" i="12"/>
  <c r="AF9" i="12"/>
  <c r="AF10" i="12"/>
  <c r="AF11" i="12"/>
  <c r="AF13" i="12"/>
  <c r="AF14" i="12"/>
  <c r="N32" i="12"/>
  <c r="D32" i="12"/>
  <c r="I32" i="12" s="1"/>
  <c r="J32" i="12" s="1"/>
  <c r="AG14" i="12" s="1"/>
  <c r="S30" i="12"/>
  <c r="S29" i="12"/>
  <c r="S28" i="12"/>
  <c r="I29" i="12"/>
  <c r="S27" i="12"/>
  <c r="I28" i="12"/>
  <c r="O26" i="12"/>
  <c r="S26" i="12" s="1"/>
  <c r="I27" i="12"/>
  <c r="I26" i="12"/>
  <c r="S24" i="12"/>
  <c r="S23" i="12"/>
  <c r="I24" i="12"/>
  <c r="I23" i="12"/>
  <c r="P21" i="12"/>
  <c r="N21" i="12"/>
  <c r="F21" i="12"/>
  <c r="D21" i="12"/>
  <c r="N17" i="12"/>
  <c r="S17" i="12" s="1"/>
  <c r="T17" i="12" s="1"/>
  <c r="AH10" i="12" s="1"/>
  <c r="I19" i="12"/>
  <c r="S15" i="12"/>
  <c r="I18" i="12"/>
  <c r="P14" i="12"/>
  <c r="N14" i="12"/>
  <c r="D17" i="12"/>
  <c r="I17" i="12" s="1"/>
  <c r="S12" i="12"/>
  <c r="F14" i="12"/>
  <c r="D14" i="12"/>
  <c r="S11" i="12"/>
  <c r="N10" i="12"/>
  <c r="S10" i="12" s="1"/>
  <c r="G11" i="12"/>
  <c r="I11" i="12" s="1"/>
  <c r="I10" i="12"/>
  <c r="S8" i="12"/>
  <c r="N7" i="12"/>
  <c r="S7" i="12" s="1"/>
  <c r="D7" i="12"/>
  <c r="I7" i="12" s="1"/>
  <c r="J7" i="12" s="1"/>
  <c r="AG7" i="12" s="1"/>
  <c r="AA7" i="12" l="1"/>
  <c r="AE7" i="12" s="1"/>
  <c r="AA10" i="12"/>
  <c r="AA8" i="12"/>
  <c r="AA11" i="12"/>
  <c r="AE11" i="12" s="1"/>
  <c r="AA38" i="12"/>
  <c r="AE38" i="12" s="1"/>
  <c r="AA14" i="12"/>
  <c r="AE14" i="12" s="1"/>
  <c r="AA39" i="12"/>
  <c r="AE39" i="12" s="1"/>
  <c r="AA13" i="12"/>
  <c r="AE13" i="12" s="1"/>
  <c r="AA9" i="12"/>
  <c r="AE9" i="12" s="1"/>
  <c r="J50" i="12"/>
  <c r="AG41" i="12" s="1"/>
  <c r="AI40" i="12"/>
  <c r="AJ40" i="12" s="1"/>
  <c r="T50" i="12"/>
  <c r="AH41" i="12" s="1"/>
  <c r="J41" i="12"/>
  <c r="AG39" i="12" s="1"/>
  <c r="S38" i="12"/>
  <c r="T38" i="12" s="1"/>
  <c r="AH38" i="12" s="1"/>
  <c r="T41" i="12"/>
  <c r="AH39" i="12" s="1"/>
  <c r="I38" i="12"/>
  <c r="J38" i="12" s="1"/>
  <c r="AG38" i="12" s="1"/>
  <c r="AI38" i="12" s="1"/>
  <c r="AJ38" i="12" s="1"/>
  <c r="S14" i="12"/>
  <c r="T14" i="12" s="1"/>
  <c r="AH9" i="12" s="1"/>
  <c r="AE10" i="12"/>
  <c r="S32" i="12"/>
  <c r="T32" i="12" s="1"/>
  <c r="AH14" i="12" s="1"/>
  <c r="AI14" i="12" s="1"/>
  <c r="AJ14" i="12" s="1"/>
  <c r="AE8" i="12"/>
  <c r="J23" i="12"/>
  <c r="AG12" i="12" s="1"/>
  <c r="J17" i="12"/>
  <c r="AG10" i="12" s="1"/>
  <c r="I14" i="12"/>
  <c r="J14" i="12" s="1"/>
  <c r="AG9" i="12" s="1"/>
  <c r="S21" i="12"/>
  <c r="T21" i="12" s="1"/>
  <c r="AH11" i="12" s="1"/>
  <c r="T7" i="12"/>
  <c r="AH7" i="12" s="1"/>
  <c r="AI7" i="12" s="1"/>
  <c r="J10" i="12"/>
  <c r="AG8" i="12" s="1"/>
  <c r="I21" i="12"/>
  <c r="J21" i="12" s="1"/>
  <c r="AG11" i="12" s="1"/>
  <c r="T23" i="12"/>
  <c r="AH12" i="12" s="1"/>
  <c r="T10" i="12"/>
  <c r="AH8" i="12" s="1"/>
  <c r="T26" i="12"/>
  <c r="AH13" i="12" s="1"/>
  <c r="J26" i="12"/>
  <c r="AG13" i="12" s="1"/>
  <c r="AL7" i="12" l="1"/>
  <c r="AI41" i="12"/>
  <c r="AJ41" i="12" s="1"/>
  <c r="AI10" i="12"/>
  <c r="AJ10" i="12" s="1"/>
  <c r="AI39" i="12"/>
  <c r="AJ7" i="12"/>
  <c r="AM7" i="12"/>
  <c r="AI11" i="12"/>
  <c r="AI13" i="12"/>
  <c r="AI8" i="12"/>
  <c r="AI9" i="12"/>
  <c r="AI12" i="12"/>
  <c r="AI51" i="12" l="1"/>
  <c r="AM10" i="12"/>
  <c r="AI50" i="12"/>
  <c r="AL10" i="12"/>
  <c r="AJ9" i="12"/>
  <c r="AM9" i="12"/>
  <c r="AL9" i="12"/>
  <c r="AJ8" i="12"/>
  <c r="AM8" i="12"/>
  <c r="AL8" i="12"/>
  <c r="AI48" i="12"/>
  <c r="AI20" i="12"/>
  <c r="AI19" i="12"/>
  <c r="AJ11" i="12"/>
  <c r="AM11" i="12"/>
  <c r="AL11" i="12"/>
  <c r="AI47" i="12"/>
  <c r="AJ13" i="12"/>
  <c r="AM13" i="12"/>
  <c r="AL13" i="12"/>
  <c r="AJ12" i="12"/>
  <c r="AI45" i="12"/>
  <c r="AI44" i="12"/>
  <c r="AI17" i="12"/>
  <c r="AI16" i="12"/>
  <c r="AM39" i="12"/>
  <c r="AJ39" i="12"/>
  <c r="AL39" i="12"/>
  <c r="AL51" i="12" l="1"/>
  <c r="AM51" i="12"/>
  <c r="AM50" i="12"/>
  <c r="AL50" i="12"/>
  <c r="AM48" i="12"/>
  <c r="AM47" i="12"/>
  <c r="AL19" i="12"/>
  <c r="AL47" i="12"/>
  <c r="AL48" i="12"/>
  <c r="AM19" i="12"/>
  <c r="AM20" i="12"/>
  <c r="AJ17" i="12"/>
  <c r="AJ16" i="12"/>
  <c r="AJ45" i="12"/>
  <c r="AJ44" i="12"/>
  <c r="AL20" i="12"/>
  <c r="D27" i="3" l="1"/>
  <c r="D26" i="3"/>
  <c r="L26" i="3" s="1"/>
  <c r="D24" i="3"/>
  <c r="L24" i="3" s="1"/>
  <c r="D25" i="3"/>
  <c r="L25" i="3" s="1"/>
  <c r="I23" i="3"/>
  <c r="I22" i="3"/>
  <c r="I21" i="3"/>
  <c r="D21" i="3"/>
  <c r="D23" i="3"/>
  <c r="I20" i="3"/>
  <c r="I19" i="3"/>
  <c r="I18" i="3"/>
  <c r="D18" i="3"/>
  <c r="D20" i="3"/>
  <c r="I17" i="3"/>
  <c r="I16" i="3"/>
  <c r="I15" i="3"/>
  <c r="D15" i="3"/>
  <c r="D17" i="3"/>
  <c r="I14" i="3"/>
  <c r="I13" i="3"/>
  <c r="I12" i="3"/>
  <c r="K12" i="3" s="1"/>
  <c r="D12" i="3"/>
  <c r="D14" i="3"/>
  <c r="I11" i="3"/>
  <c r="I10" i="3"/>
  <c r="I9" i="3"/>
  <c r="K9" i="3" s="1"/>
  <c r="D9" i="3"/>
  <c r="D11" i="3"/>
  <c r="I8" i="3"/>
  <c r="I7" i="3"/>
  <c r="I6" i="3"/>
  <c r="D8" i="3"/>
  <c r="L8" i="3" l="1"/>
  <c r="L17" i="3"/>
  <c r="L14" i="3"/>
  <c r="L11" i="3"/>
  <c r="K6" i="3"/>
  <c r="L23" i="3"/>
  <c r="L20" i="3"/>
  <c r="K21" i="3"/>
  <c r="K18" i="3"/>
  <c r="K15" i="3"/>
  <c r="N24" i="3"/>
  <c r="M24" i="3"/>
  <c r="L27" i="3"/>
  <c r="J6" i="3"/>
  <c r="J9" i="3"/>
  <c r="J12" i="3"/>
  <c r="J15" i="3"/>
  <c r="J18" i="3"/>
  <c r="J21" i="3"/>
  <c r="D28" i="3"/>
  <c r="L28" i="3" s="1"/>
  <c r="L6" i="3"/>
  <c r="D7" i="3"/>
  <c r="L7" i="3" s="1"/>
  <c r="L9" i="3"/>
  <c r="D10" i="3"/>
  <c r="L10" i="3" s="1"/>
  <c r="L12" i="3"/>
  <c r="D13" i="3"/>
  <c r="L13" i="3" s="1"/>
  <c r="L15" i="3"/>
  <c r="D16" i="3"/>
  <c r="L16" i="3" s="1"/>
  <c r="L18" i="3"/>
  <c r="D19" i="3"/>
  <c r="L19" i="3" s="1"/>
  <c r="L21" i="3"/>
  <c r="D22" i="3"/>
  <c r="L22" i="3" s="1"/>
  <c r="D29" i="3"/>
  <c r="L29" i="3" s="1"/>
  <c r="E24" i="3"/>
  <c r="F24" i="3"/>
  <c r="E9" i="3" l="1"/>
  <c r="E18" i="3"/>
  <c r="L32" i="3"/>
  <c r="L31" i="3"/>
  <c r="E6" i="3"/>
  <c r="F12" i="3"/>
  <c r="E21" i="3"/>
  <c r="N18" i="3"/>
  <c r="M18" i="3"/>
  <c r="N6" i="3"/>
  <c r="M6" i="3"/>
  <c r="F27" i="3"/>
  <c r="F21" i="3"/>
  <c r="N12" i="3"/>
  <c r="M12" i="3"/>
  <c r="M27" i="3"/>
  <c r="N27" i="3"/>
  <c r="F18" i="3"/>
  <c r="N15" i="3"/>
  <c r="M15" i="3"/>
  <c r="E27" i="3"/>
  <c r="F15" i="3"/>
  <c r="E15" i="3"/>
  <c r="N21" i="3"/>
  <c r="M21" i="3"/>
  <c r="N9" i="3"/>
  <c r="M9" i="3"/>
  <c r="F9" i="3"/>
  <c r="E12" i="3"/>
  <c r="F6" i="3"/>
  <c r="M31" i="3" l="1"/>
  <c r="M3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María</author>
  </authors>
  <commentList>
    <comment ref="F4" authorId="0" shapeId="0" xr:uid="{00000000-0006-0000-0300-000001000000}">
      <text>
        <r>
          <rPr>
            <b/>
            <sz val="9"/>
            <color rgb="FF000000"/>
            <rFont val="Tahoma"/>
            <family val="2"/>
          </rPr>
          <t>María: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4/3*π*A*B*C
</t>
        </r>
        <r>
          <rPr>
            <sz val="9"/>
            <color rgb="FF000000"/>
            <rFont val="Tahoma"/>
            <family val="2"/>
          </rPr>
          <t xml:space="preserve">A=1/2 * length
</t>
        </r>
        <r>
          <rPr>
            <sz val="9"/>
            <color rgb="FF000000"/>
            <rFont val="Tahoma"/>
            <family val="2"/>
          </rPr>
          <t xml:space="preserve">B=1/2 * heigth
</t>
        </r>
        <r>
          <rPr>
            <sz val="9"/>
            <color rgb="FF000000"/>
            <rFont val="Tahoma"/>
            <family val="2"/>
          </rPr>
          <t>C=1/2 * width</t>
        </r>
      </text>
    </comment>
  </commentList>
</comments>
</file>

<file path=xl/sharedStrings.xml><?xml version="1.0" encoding="utf-8"?>
<sst xmlns="http://schemas.openxmlformats.org/spreadsheetml/2006/main" count="407" uniqueCount="153">
  <si>
    <t>AVRG</t>
  </si>
  <si>
    <t>SD</t>
  </si>
  <si>
    <t>TOTAL faeces</t>
  </si>
  <si>
    <t>Sponge #</t>
  </si>
  <si>
    <t>DW (g)</t>
  </si>
  <si>
    <t>bSi content (%)</t>
  </si>
  <si>
    <t>Si (g)</t>
  </si>
  <si>
    <t>AVRG Si (g)</t>
  </si>
  <si>
    <t>SD  Si (g)</t>
  </si>
  <si>
    <t>Sponge ID</t>
  </si>
  <si>
    <t>Technicon HF</t>
  </si>
  <si>
    <t>Hym Lomergat 1</t>
  </si>
  <si>
    <t>Hym Lomergat 2</t>
  </si>
  <si>
    <t>Hym Lomergat 3</t>
  </si>
  <si>
    <t>Hym Lomergat 4</t>
  </si>
  <si>
    <t>Hym Lomergat 5</t>
  </si>
  <si>
    <t>Hym Lomergat 6</t>
  </si>
  <si>
    <t>Hym Lomergat 7</t>
  </si>
  <si>
    <t>Hym Lomergat 8</t>
  </si>
  <si>
    <t>Hym Lomergat 9</t>
  </si>
  <si>
    <t>Hym Lomergat 10</t>
  </si>
  <si>
    <t>Hym Lomergat 11</t>
  </si>
  <si>
    <t>Hym Lomergat 12</t>
  </si>
  <si>
    <t>Hym Lomergat 13</t>
  </si>
  <si>
    <t>Hym Lomergat 14</t>
  </si>
  <si>
    <t>Hym Lomergat 15</t>
  </si>
  <si>
    <t>Hym Lomergat 16</t>
  </si>
  <si>
    <t>Hym Lomergat 17</t>
  </si>
  <si>
    <t>Hym Lomergat 18</t>
  </si>
  <si>
    <t>N quadrat</t>
  </si>
  <si>
    <t>LOMERGAT-NOV 2020</t>
  </si>
  <si>
    <t>Volumen Hym (mL)</t>
  </si>
  <si>
    <t>LOMERGAT-APR 2021</t>
  </si>
  <si>
    <t>MIN</t>
  </si>
  <si>
    <t>MAX</t>
  </si>
  <si>
    <t>Code transect</t>
  </si>
  <si>
    <t>Abundace per 25 m transect</t>
  </si>
  <si>
    <r>
      <t>N nudi m</t>
    </r>
    <r>
      <rPr>
        <b/>
        <vertAlign val="superscript"/>
        <sz val="11"/>
        <color theme="1"/>
        <rFont val="Calibri"/>
        <family val="2"/>
      </rPr>
      <t>-2</t>
    </r>
  </si>
  <si>
    <t>SUMMARY</t>
  </si>
  <si>
    <t>1L</t>
  </si>
  <si>
    <t>1R</t>
  </si>
  <si>
    <t>N</t>
  </si>
  <si>
    <t>SE</t>
  </si>
  <si>
    <t>2L</t>
  </si>
  <si>
    <t>2R</t>
  </si>
  <si>
    <t>3L</t>
  </si>
  <si>
    <t>3R</t>
  </si>
  <si>
    <t>4L</t>
  </si>
  <si>
    <t>4R</t>
  </si>
  <si>
    <t>5L</t>
  </si>
  <si>
    <t>5R</t>
  </si>
  <si>
    <t>6L</t>
  </si>
  <si>
    <t>6R</t>
  </si>
  <si>
    <r>
      <t xml:space="preserve">mL </t>
    </r>
    <r>
      <rPr>
        <b/>
        <i/>
        <sz val="11"/>
        <color theme="1"/>
        <rFont val="Calibri"/>
        <family val="2"/>
      </rPr>
      <t>D. verrucosa</t>
    </r>
    <r>
      <rPr>
        <b/>
        <sz val="11"/>
        <color theme="1"/>
        <rFont val="Calibri"/>
        <family val="2"/>
      </rPr>
      <t xml:space="preserve"> per 25m transect</t>
    </r>
  </si>
  <si>
    <r>
      <t>mL m</t>
    </r>
    <r>
      <rPr>
        <b/>
        <vertAlign val="superscript"/>
        <sz val="11"/>
        <color theme="1"/>
        <rFont val="Calibri"/>
        <family val="2"/>
      </rPr>
      <t>-2</t>
    </r>
  </si>
  <si>
    <t>Abundance</t>
  </si>
  <si>
    <t>Biomass</t>
  </si>
  <si>
    <r>
      <t>mL nudi m</t>
    </r>
    <r>
      <rPr>
        <b/>
        <vertAlign val="superscript"/>
        <sz val="11"/>
        <color theme="1"/>
        <rFont val="Calibri"/>
        <family val="2"/>
      </rPr>
      <t>-2</t>
    </r>
  </si>
  <si>
    <t>t=0</t>
  </si>
  <si>
    <t>t=24h</t>
  </si>
  <si>
    <t>#</t>
  </si>
  <si>
    <t>Height (cm)</t>
  </si>
  <si>
    <t>Length (cm)</t>
  </si>
  <si>
    <t>width (cm)</t>
  </si>
  <si>
    <t>Ø (cm)</t>
  </si>
  <si>
    <t>Partial volume (mL)</t>
  </si>
  <si>
    <t>Volume sponge (mL)</t>
  </si>
  <si>
    <t>Vol. nudibranch (mL)</t>
  </si>
  <si>
    <t>% of vol t0</t>
  </si>
  <si>
    <t>Pp</t>
  </si>
  <si>
    <t>cy</t>
  </si>
  <si>
    <t>ctrl</t>
  </si>
  <si>
    <t>ct</t>
  </si>
  <si>
    <t>cô</t>
  </si>
  <si>
    <t>Partial vol. (mL)</t>
  </si>
  <si>
    <r>
      <rPr>
        <u/>
        <sz val="11"/>
        <color theme="1"/>
        <rFont val="Calibri"/>
        <family val="2"/>
        <scheme val="minor"/>
      </rPr>
      <t>Predator</t>
    </r>
    <r>
      <rPr>
        <sz val="11"/>
        <color theme="1"/>
        <rFont val="Calibri"/>
        <family val="2"/>
        <scheme val="minor"/>
      </rPr>
      <t>: Nudibranch</t>
    </r>
    <r>
      <rPr>
        <i/>
        <sz val="11"/>
        <color theme="1"/>
        <rFont val="Calibri"/>
        <family val="2"/>
        <scheme val="minor"/>
      </rPr>
      <t xml:space="preserve"> Doris verrucosa</t>
    </r>
  </si>
  <si>
    <r>
      <rPr>
        <u/>
        <sz val="11"/>
        <color theme="1"/>
        <rFont val="Calibri"/>
        <family val="2"/>
        <scheme val="minor"/>
      </rPr>
      <t>Prey</t>
    </r>
    <r>
      <rPr>
        <sz val="11"/>
        <color theme="1"/>
        <rFont val="Calibri"/>
        <family val="2"/>
        <scheme val="minor"/>
      </rPr>
      <t xml:space="preserve">: Sponge </t>
    </r>
    <r>
      <rPr>
        <i/>
        <sz val="11"/>
        <color theme="1"/>
        <rFont val="Calibri"/>
        <family val="2"/>
        <scheme val="minor"/>
      </rPr>
      <t>Hymeniacidon perlevis</t>
    </r>
  </si>
  <si>
    <t>Vol. Sponge (mL)</t>
  </si>
  <si>
    <t>t0</t>
  </si>
  <si>
    <t>tf</t>
  </si>
  <si>
    <t>Predation rate</t>
  </si>
  <si>
    <r>
      <t>(mL sponge d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 xml:space="preserve"> mL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 xml:space="preserve"> nudi)</t>
    </r>
  </si>
  <si>
    <t>Predation activity (0/1)</t>
  </si>
  <si>
    <t>Eaten vol.</t>
  </si>
  <si>
    <t xml:space="preserve">AVRG ctrl </t>
  </si>
  <si>
    <t xml:space="preserve">SD ctrl </t>
  </si>
  <si>
    <t>AVRG predation rate</t>
  </si>
  <si>
    <t>SD predation rate</t>
  </si>
  <si>
    <t>AVRG vol. eaten</t>
  </si>
  <si>
    <t>SD vol. eaten</t>
  </si>
  <si>
    <t>Wet weight (g)</t>
  </si>
  <si>
    <r>
      <t>(mL sponge d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 xml:space="preserve"> g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 xml:space="preserve"> nudi)</t>
    </r>
  </si>
  <si>
    <t>Nudibranch biomass</t>
  </si>
  <si>
    <t>Volume (mL)</t>
  </si>
  <si>
    <t>WW (g)</t>
  </si>
  <si>
    <t>measured 5 times - average values</t>
  </si>
  <si>
    <t>In situ (Lomergat)</t>
  </si>
  <si>
    <t>Width (cm)</t>
  </si>
  <si>
    <t>In situ experiments 1&amp;2 together</t>
  </si>
  <si>
    <t>Nudibranch #</t>
  </si>
  <si>
    <t>7L</t>
  </si>
  <si>
    <t>7R</t>
  </si>
  <si>
    <t>8L</t>
  </si>
  <si>
    <t>8R</t>
  </si>
  <si>
    <t>Ellipsoid</t>
  </si>
  <si>
    <t>Vol. ellipsoid (mL)</t>
  </si>
  <si>
    <r>
      <t xml:space="preserve">g WW </t>
    </r>
    <r>
      <rPr>
        <b/>
        <i/>
        <sz val="11"/>
        <color theme="1"/>
        <rFont val="Calibri"/>
        <family val="2"/>
      </rPr>
      <t>D. verrucosa</t>
    </r>
    <r>
      <rPr>
        <b/>
        <sz val="11"/>
        <color theme="1"/>
        <rFont val="Calibri"/>
        <family val="2"/>
      </rPr>
      <t xml:space="preserve"> per 25m transect</t>
    </r>
  </si>
  <si>
    <r>
      <t xml:space="preserve">g WW </t>
    </r>
    <r>
      <rPr>
        <b/>
        <sz val="11"/>
        <color theme="1"/>
        <rFont val="Calibri"/>
        <family val="2"/>
      </rPr>
      <t>m</t>
    </r>
    <r>
      <rPr>
        <b/>
        <vertAlign val="superscript"/>
        <sz val="11"/>
        <color theme="1"/>
        <rFont val="Calibri"/>
        <family val="2"/>
      </rPr>
      <t>2</t>
    </r>
  </si>
  <si>
    <r>
      <t>g WW nudi m</t>
    </r>
    <r>
      <rPr>
        <b/>
        <vertAlign val="superscript"/>
        <sz val="11"/>
        <color theme="1"/>
        <rFont val="Calibri"/>
        <family val="2"/>
      </rPr>
      <t>-2</t>
    </r>
  </si>
  <si>
    <t>LOMERGAT</t>
  </si>
  <si>
    <t>Colorless feces</t>
  </si>
  <si>
    <t>Incubation #</t>
  </si>
  <si>
    <r>
      <t>(g DW d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 xml:space="preserve"> mL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 xml:space="preserve"> nudi)</t>
    </r>
  </si>
  <si>
    <t xml:space="preserve">Feces production </t>
  </si>
  <si>
    <t>Nudibranch biomass (mL)</t>
  </si>
  <si>
    <t>Nudibranch length (cm)</t>
  </si>
  <si>
    <r>
      <t>(mg DW d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 xml:space="preserve"> mL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 xml:space="preserve"> nudi)</t>
    </r>
  </si>
  <si>
    <t>Colored feces</t>
  </si>
  <si>
    <t>Experiment 1</t>
  </si>
  <si>
    <t>Experiment 2</t>
  </si>
  <si>
    <t>Nudibranch</t>
  </si>
  <si>
    <t>(0=no, 1=yes)</t>
  </si>
  <si>
    <r>
      <rPr>
        <u/>
        <sz val="11"/>
        <color theme="1"/>
        <rFont val="Arial"/>
        <family val="2"/>
      </rPr>
      <t>Sponge species</t>
    </r>
    <r>
      <rPr>
        <sz val="11"/>
        <color theme="1"/>
        <rFont val="Arial"/>
        <family val="2"/>
      </rPr>
      <t xml:space="preserve">: </t>
    </r>
    <r>
      <rPr>
        <i/>
        <sz val="11"/>
        <color theme="1"/>
        <rFont val="Arial"/>
        <family val="2"/>
      </rPr>
      <t>Hymeniacidon perlevis</t>
    </r>
  </si>
  <si>
    <r>
      <rPr>
        <u/>
        <sz val="11"/>
        <color theme="1"/>
        <rFont val="Arial"/>
        <family val="2"/>
      </rPr>
      <t>Location</t>
    </r>
    <r>
      <rPr>
        <sz val="11"/>
        <color theme="1"/>
        <rFont val="Arial"/>
        <family val="2"/>
      </rPr>
      <t>: Lomergat (Bay of Brest, France)</t>
    </r>
  </si>
  <si>
    <t>LOMERGAT-JUNE 2020</t>
  </si>
  <si>
    <t>LOMERGAT-JUNE 21</t>
  </si>
  <si>
    <r>
      <t xml:space="preserve">N </t>
    </r>
    <r>
      <rPr>
        <b/>
        <i/>
        <sz val="11"/>
        <color theme="1"/>
        <rFont val="Calibri"/>
        <family val="2"/>
        <scheme val="minor"/>
      </rPr>
      <t>H. perlevis</t>
    </r>
  </si>
  <si>
    <r>
      <t xml:space="preserve">N </t>
    </r>
    <r>
      <rPr>
        <b/>
        <i/>
        <sz val="11"/>
        <color rgb="FF000000"/>
        <rFont val="Calibri"/>
        <family val="2"/>
        <scheme val="minor"/>
      </rPr>
      <t>H. perlevis</t>
    </r>
  </si>
  <si>
    <t>Prey abundance</t>
  </si>
  <si>
    <t>Predator abundance</t>
  </si>
  <si>
    <r>
      <rPr>
        <u/>
        <sz val="11"/>
        <color theme="1"/>
        <rFont val="Arial"/>
        <family val="2"/>
      </rPr>
      <t>Nudibranch species</t>
    </r>
    <r>
      <rPr>
        <sz val="11"/>
        <color theme="1"/>
        <rFont val="Arial"/>
        <family val="2"/>
      </rPr>
      <t xml:space="preserve">: </t>
    </r>
    <r>
      <rPr>
        <i/>
        <sz val="11"/>
        <color theme="1"/>
        <rFont val="Arial"/>
        <family val="2"/>
      </rPr>
      <t>Doris verrucosa</t>
    </r>
  </si>
  <si>
    <r>
      <rPr>
        <i/>
        <sz val="10"/>
        <color theme="1"/>
        <rFont val="Arial"/>
        <family val="2"/>
      </rPr>
      <t>Code transect meaning</t>
    </r>
    <r>
      <rPr>
        <sz val="10"/>
        <color theme="1"/>
        <rFont val="Arial"/>
        <family val="2"/>
      </rPr>
      <t xml:space="preserve">: number indicates the number of transect; L/R indicates wheter the transect is the Left or Right side of the transect </t>
    </r>
  </si>
  <si>
    <r>
      <t>Each transect is 25m long and 1m wide (i.e., 25m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)</t>
    </r>
  </si>
  <si>
    <t>Example: transect 1L: transect number 1, left side</t>
  </si>
  <si>
    <r>
      <rPr>
        <b/>
        <sz val="12"/>
        <color theme="1"/>
        <rFont val="Arial"/>
        <family val="2"/>
      </rPr>
      <t>Feces production experiment</t>
    </r>
    <r>
      <rPr>
        <sz val="12"/>
        <color theme="1"/>
        <rFont val="Arial"/>
        <family val="2"/>
      </rPr>
      <t>: feces dry weight (DW) per nudibranch biomass unit</t>
    </r>
  </si>
  <si>
    <r>
      <rPr>
        <b/>
        <sz val="12"/>
        <color theme="1"/>
        <rFont val="Arial"/>
        <family val="2"/>
      </rPr>
      <t>Feces production experiment</t>
    </r>
    <r>
      <rPr>
        <sz val="12"/>
        <color theme="1"/>
        <rFont val="Arial"/>
        <family val="2"/>
      </rPr>
      <t>: silicon (Si) content in nudibranch feces</t>
    </r>
  </si>
  <si>
    <t>TOTAL feces</t>
  </si>
  <si>
    <t>Sponge silicon content survey throughout 2020-2021</t>
  </si>
  <si>
    <t>Sponge skeleton content (i.e., biogenic silica (bSi) content)</t>
  </si>
  <si>
    <t>In situ experiments to determine nudibranch predation rate</t>
  </si>
  <si>
    <t>Sponge shape</t>
  </si>
  <si>
    <t>Nudibranch predation boosts sponge silicon cycling</t>
  </si>
  <si>
    <t>María López-Acosta*, Clémence Potel, Morgane Gallinari, Fiz F. Pérez, Aude Leynaert</t>
  </si>
  <si>
    <t>* Correspondence: lopezacosta@iim.csic.es</t>
  </si>
  <si>
    <t>Raw data and metadata of:</t>
  </si>
  <si>
    <r>
      <rPr>
        <i/>
        <sz val="12"/>
        <color theme="1"/>
        <rFont val="Arial"/>
        <family val="2"/>
      </rPr>
      <t>Scientific Reports</t>
    </r>
    <r>
      <rPr>
        <sz val="12"/>
        <color rgb="FF222222"/>
        <rFont val="Arial"/>
        <family val="2"/>
      </rPr>
      <t> </t>
    </r>
    <r>
      <rPr>
        <b/>
        <sz val="12"/>
        <color rgb="FF222222"/>
        <rFont val="Arial"/>
        <family val="2"/>
      </rPr>
      <t>13</t>
    </r>
    <r>
      <rPr>
        <sz val="12"/>
        <color rgb="FF222222"/>
        <rFont val="Arial"/>
        <family val="2"/>
      </rPr>
      <t xml:space="preserve">, 1178 (2023). </t>
    </r>
  </si>
  <si>
    <t>https://doi.org/10.1038/s41598-023-27411-y</t>
  </si>
  <si>
    <t>Access and reuse: https://creativecommons.org/licenses/by-nc-nd/4.0/</t>
  </si>
  <si>
    <r>
      <t xml:space="preserve">Description: This Excel file includes the metadata of the study of the predation activity of the nudibranch </t>
    </r>
    <r>
      <rPr>
        <i/>
        <sz val="12"/>
        <color theme="1"/>
        <rFont val="Arial"/>
        <family val="2"/>
      </rPr>
      <t>Doris verrucosa</t>
    </r>
    <r>
      <rPr>
        <sz val="12"/>
        <color theme="1"/>
        <rFont val="Arial"/>
        <family val="2"/>
      </rPr>
      <t xml:space="preserve"> on the sponge </t>
    </r>
    <r>
      <rPr>
        <i/>
        <sz val="12"/>
        <color theme="1"/>
        <rFont val="Arial"/>
        <family val="2"/>
      </rPr>
      <t>Hymeniacidon perlevis</t>
    </r>
  </si>
  <si>
    <r>
      <rPr>
        <b/>
        <sz val="11"/>
        <color theme="1"/>
        <rFont val="Arial"/>
        <family val="2"/>
      </rPr>
      <t>Citation:</t>
    </r>
    <r>
      <rPr>
        <sz val="11"/>
        <color theme="1"/>
        <rFont val="Arial"/>
        <family val="2"/>
      </rPr>
      <t xml:space="preserve"> López-Acosta, M., Potel, C., Gallinari, M., Pérez, F. F., and Leynaert, A. (2022). Predation data of the sponge-feeding nudibranch </t>
    </r>
    <r>
      <rPr>
        <i/>
        <sz val="11"/>
        <color theme="1"/>
        <rFont val="Arial"/>
        <family val="2"/>
      </rPr>
      <t>Doris verrucosa</t>
    </r>
    <r>
      <rPr>
        <sz val="11"/>
        <color theme="1"/>
        <rFont val="Arial"/>
        <family val="2"/>
      </rPr>
      <t xml:space="preserve"> on the sponge </t>
    </r>
    <r>
      <rPr>
        <i/>
        <sz val="11"/>
        <color theme="1"/>
        <rFont val="Arial"/>
        <family val="2"/>
      </rPr>
      <t>Hymeniacidon perlevis</t>
    </r>
    <r>
      <rPr>
        <sz val="11"/>
        <color theme="1"/>
        <rFont val="Arial"/>
        <family val="2"/>
      </rPr>
      <t>. DigitalCSIC. https://doi.org/10.20350/digitalCSIC/14718</t>
    </r>
  </si>
  <si>
    <t>Contact details: lopezacosta@iim.csic.es</t>
  </si>
  <si>
    <t>N nudi M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</si>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</sst>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"/>
    <numFmt numFmtId="167" formatCode="0.0%"/>
  </numFmts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sz val="11"/>
      <color theme="1"/>
      <name val="Arial"/>
      <family val="2"/>
    </font>
    <font>
      <b/>
      <i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0"/>
      <color theme="1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2"/>
      <color theme="1"/>
      <name val="Arial"/>
      <family val="2"/>
    </font>
    <font>
      <i/>
      <sz val="11"/>
      <color theme="1"/>
      <name val="Arial"/>
      <family val="2"/>
    </font>
    <font>
      <b/>
      <u/>
      <sz val="11"/>
      <color theme="1"/>
      <name val="Arial"/>
      <family val="2"/>
    </font>
    <font>
      <u/>
      <sz val="11"/>
      <color theme="1"/>
      <name val="Arial"/>
      <family val="2"/>
    </font>
    <font>
      <b/>
      <i/>
      <sz val="11"/>
      <color rgb="FF000000"/>
      <name val="Calibri"/>
      <family val="2"/>
      <scheme val="minor"/>
    </font>
    <font>
      <vertAlign val="superscript"/>
      <sz val="10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"/>
      <name val="Arial"/>
      <family val="2"/>
    </font>
    <font>
      <sz val="20"/>
      <color theme="1"/>
      <name val="Arial"/>
      <family val="2"/>
    </font>
    <font>
      <sz val="16"/>
      <color theme="1"/>
      <name val="Arial"/>
      <family val="2"/>
    </font>
    <font>
      <sz val="12"/>
      <color rgb="FF222222"/>
      <name val="Arial"/>
      <family val="2"/>
    </font>
    <font>
      <b/>
      <sz val="12"/>
      <color rgb="FF222222"/>
      <name val="Arial"/>
      <family val="2"/>
    </font>
    <font>
      <i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i/>
      <u/>
      <sz val="11"/>
      <color theme="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BDD7EE"/>
        <bgColor rgb="FFBDD7EE"/>
      </patternFill>
    </fill>
    <fill>
      <patternFill patternType="solid">
        <fgColor rgb="FFD9D9D9"/>
        <bgColor rgb="FFD9D9D9"/>
      </patternFill>
    </fill>
    <fill>
      <patternFill patternType="solid">
        <fgColor rgb="FFA5A5A5"/>
        <bgColor rgb="FFA5A5A5"/>
      </patternFill>
    </fill>
    <fill>
      <patternFill patternType="solid">
        <fgColor rgb="FF7F7F7F"/>
        <bgColor rgb="FF7F7F7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A5A5A5"/>
      </patternFill>
    </fill>
    <fill>
      <patternFill patternType="solid">
        <fgColor theme="7" tint="0.59999389629810485"/>
        <bgColor rgb="FF7F7F7F"/>
      </patternFill>
    </fill>
    <fill>
      <patternFill patternType="solid">
        <fgColor rgb="FF92D050"/>
        <bgColor rgb="FF92D050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FF00FF"/>
        <bgColor rgb="FFFF00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rgb="FFCCCCCC"/>
      </patternFill>
    </fill>
    <fill>
      <patternFill patternType="solid">
        <fgColor theme="5" tint="0.79998168889431442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8" tint="0.39997558519241921"/>
        <bgColor rgb="FFA64D79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0" fontId="7" fillId="0" borderId="0"/>
    <xf numFmtId="0" fontId="39" fillId="0" borderId="0" applyNumberFormat="0" applyFill="0" applyBorder="0" applyAlignment="0" applyProtection="0"/>
  </cellStyleXfs>
  <cellXfs count="236">
    <xf numFmtId="0" fontId="0" fillId="0" borderId="0" xfId="0"/>
    <xf numFmtId="0" fontId="1" fillId="0" borderId="0" xfId="0" applyFont="1"/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0" xfId="0" applyFill="1"/>
    <xf numFmtId="0" fontId="0" fillId="2" borderId="2" xfId="0" applyFill="1" applyBorder="1"/>
    <xf numFmtId="2" fontId="0" fillId="2" borderId="3" xfId="0" applyNumberFormat="1" applyFill="1" applyBorder="1"/>
    <xf numFmtId="165" fontId="0" fillId="2" borderId="3" xfId="0" applyNumberFormat="1" applyFill="1" applyBorder="1"/>
    <xf numFmtId="0" fontId="0" fillId="2" borderId="3" xfId="0" applyFill="1" applyBorder="1"/>
    <xf numFmtId="166" fontId="0" fillId="2" borderId="2" xfId="0" applyNumberFormat="1" applyFill="1" applyBorder="1"/>
    <xf numFmtId="0" fontId="0" fillId="2" borderId="4" xfId="0" applyFill="1" applyBorder="1"/>
    <xf numFmtId="165" fontId="0" fillId="2" borderId="2" xfId="0" applyNumberFormat="1" applyFill="1" applyBorder="1"/>
    <xf numFmtId="166" fontId="0" fillId="2" borderId="3" xfId="0" applyNumberFormat="1" applyFill="1" applyBorder="1"/>
    <xf numFmtId="166" fontId="0" fillId="2" borderId="4" xfId="0" applyNumberFormat="1" applyFill="1" applyBorder="1"/>
    <xf numFmtId="164" fontId="0" fillId="0" borderId="0" xfId="0" applyNumberFormat="1"/>
    <xf numFmtId="0" fontId="0" fillId="2" borderId="5" xfId="0" applyFill="1" applyBorder="1"/>
    <xf numFmtId="2" fontId="0" fillId="2" borderId="0" xfId="0" applyNumberFormat="1" applyFill="1"/>
    <xf numFmtId="165" fontId="0" fillId="2" borderId="0" xfId="0" applyNumberFormat="1" applyFill="1"/>
    <xf numFmtId="166" fontId="0" fillId="2" borderId="5" xfId="0" applyNumberFormat="1" applyFill="1" applyBorder="1"/>
    <xf numFmtId="0" fontId="0" fillId="2" borderId="8" xfId="0" applyFill="1" applyBorder="1"/>
    <xf numFmtId="165" fontId="0" fillId="2" borderId="5" xfId="0" applyNumberFormat="1" applyFill="1" applyBorder="1"/>
    <xf numFmtId="166" fontId="0" fillId="2" borderId="0" xfId="0" applyNumberFormat="1" applyFill="1"/>
    <xf numFmtId="166" fontId="0" fillId="2" borderId="8" xfId="0" applyNumberFormat="1" applyFill="1" applyBorder="1"/>
    <xf numFmtId="166" fontId="0" fillId="0" borderId="5" xfId="0" applyNumberFormat="1" applyBorder="1"/>
    <xf numFmtId="2" fontId="0" fillId="0" borderId="0" xfId="0" applyNumberFormat="1"/>
    <xf numFmtId="165" fontId="0" fillId="0" borderId="0" xfId="0" applyNumberFormat="1"/>
    <xf numFmtId="0" fontId="0" fillId="0" borderId="8" xfId="0" applyBorder="1"/>
    <xf numFmtId="165" fontId="0" fillId="0" borderId="5" xfId="0" applyNumberFormat="1" applyBorder="1"/>
    <xf numFmtId="166" fontId="0" fillId="0" borderId="0" xfId="0" applyNumberFormat="1"/>
    <xf numFmtId="166" fontId="0" fillId="0" borderId="8" xfId="0" applyNumberFormat="1" applyBorder="1"/>
    <xf numFmtId="0" fontId="0" fillId="0" borderId="5" xfId="0" applyBorder="1"/>
    <xf numFmtId="0" fontId="0" fillId="0" borderId="6" xfId="0" applyBorder="1"/>
    <xf numFmtId="2" fontId="0" fillId="0" borderId="1" xfId="0" applyNumberFormat="1" applyBorder="1"/>
    <xf numFmtId="0" fontId="0" fillId="0" borderId="1" xfId="0" applyBorder="1"/>
    <xf numFmtId="166" fontId="0" fillId="0" borderId="6" xfId="0" applyNumberFormat="1" applyBorder="1"/>
    <xf numFmtId="0" fontId="0" fillId="0" borderId="7" xfId="0" applyBorder="1"/>
    <xf numFmtId="165" fontId="0" fillId="0" borderId="6" xfId="0" applyNumberFormat="1" applyBorder="1"/>
    <xf numFmtId="166" fontId="0" fillId="0" borderId="1" xfId="0" applyNumberFormat="1" applyBorder="1"/>
    <xf numFmtId="166" fontId="0" fillId="0" borderId="7" xfId="0" applyNumberFormat="1" applyBorder="1"/>
    <xf numFmtId="0" fontId="1" fillId="3" borderId="6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0" fontId="1" fillId="0" borderId="1" xfId="0" applyFont="1" applyBorder="1"/>
    <xf numFmtId="0" fontId="7" fillId="0" borderId="1" xfId="2" applyBorder="1"/>
    <xf numFmtId="0" fontId="8" fillId="10" borderId="0" xfId="2" applyFont="1" applyFill="1"/>
    <xf numFmtId="0" fontId="7" fillId="10" borderId="0" xfId="2" applyFill="1"/>
    <xf numFmtId="0" fontId="7" fillId="0" borderId="0" xfId="2"/>
    <xf numFmtId="0" fontId="11" fillId="0" borderId="0" xfId="2" applyFont="1"/>
    <xf numFmtId="0" fontId="9" fillId="11" borderId="0" xfId="2" applyFont="1" applyFill="1"/>
    <xf numFmtId="0" fontId="9" fillId="12" borderId="0" xfId="2" applyFont="1" applyFill="1"/>
    <xf numFmtId="0" fontId="13" fillId="0" borderId="0" xfId="0" applyFont="1"/>
    <xf numFmtId="0" fontId="15" fillId="0" borderId="0" xfId="0" applyFont="1"/>
    <xf numFmtId="2" fontId="13" fillId="0" borderId="0" xfId="0" applyNumberFormat="1" applyFont="1"/>
    <xf numFmtId="164" fontId="14" fillId="0" borderId="0" xfId="0" applyNumberFormat="1" applyFont="1"/>
    <xf numFmtId="2" fontId="14" fillId="0" borderId="0" xfId="0" applyNumberFormat="1" applyFont="1"/>
    <xf numFmtId="0" fontId="8" fillId="0" borderId="0" xfId="0" applyFont="1"/>
    <xf numFmtId="0" fontId="13" fillId="19" borderId="0" xfId="0" applyFont="1" applyFill="1"/>
    <xf numFmtId="0" fontId="0" fillId="19" borderId="0" xfId="0" applyFill="1"/>
    <xf numFmtId="2" fontId="8" fillId="0" borderId="0" xfId="0" applyNumberFormat="1" applyFont="1" applyAlignment="1">
      <alignment horizontal="right"/>
    </xf>
    <xf numFmtId="1" fontId="13" fillId="0" borderId="0" xfId="0" applyNumberFormat="1" applyFont="1"/>
    <xf numFmtId="164" fontId="8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1" fillId="0" borderId="0" xfId="0" applyNumberFormat="1" applyFont="1"/>
    <xf numFmtId="0" fontId="0" fillId="0" borderId="9" xfId="0" applyBorder="1"/>
    <xf numFmtId="0" fontId="0" fillId="19" borderId="9" xfId="0" applyFill="1" applyBorder="1"/>
    <xf numFmtId="0" fontId="13" fillId="0" borderId="9" xfId="0" applyFont="1" applyBorder="1"/>
    <xf numFmtId="164" fontId="13" fillId="16" borderId="0" xfId="0" applyNumberFormat="1" applyFont="1" applyFill="1" applyAlignment="1">
      <alignment horizontal="right"/>
    </xf>
    <xf numFmtId="0" fontId="3" fillId="0" borderId="0" xfId="0" applyFont="1"/>
    <xf numFmtId="164" fontId="3" fillId="0" borderId="0" xfId="0" applyNumberFormat="1" applyFont="1"/>
    <xf numFmtId="0" fontId="9" fillId="14" borderId="0" xfId="0" applyFont="1" applyFill="1"/>
    <xf numFmtId="164" fontId="9" fillId="14" borderId="0" xfId="0" applyNumberFormat="1" applyFont="1" applyFill="1" applyAlignment="1">
      <alignment horizontal="right"/>
    </xf>
    <xf numFmtId="0" fontId="9" fillId="13" borderId="0" xfId="0" applyFont="1" applyFill="1"/>
    <xf numFmtId="164" fontId="9" fillId="13" borderId="0" xfId="0" applyNumberFormat="1" applyFont="1" applyFill="1" applyAlignment="1">
      <alignment horizontal="right"/>
    </xf>
    <xf numFmtId="0" fontId="9" fillId="17" borderId="0" xfId="0" applyFont="1" applyFill="1"/>
    <xf numFmtId="164" fontId="9" fillId="17" borderId="0" xfId="0" applyNumberFormat="1" applyFont="1" applyFill="1" applyAlignment="1">
      <alignment horizontal="right"/>
    </xf>
    <xf numFmtId="0" fontId="9" fillId="15" borderId="0" xfId="0" applyFont="1" applyFill="1"/>
    <xf numFmtId="164" fontId="9" fillId="15" borderId="0" xfId="0" applyNumberFormat="1" applyFont="1" applyFill="1" applyAlignment="1">
      <alignment horizontal="right"/>
    </xf>
    <xf numFmtId="0" fontId="18" fillId="0" borderId="0" xfId="0" applyFont="1"/>
    <xf numFmtId="0" fontId="9" fillId="0" borderId="0" xfId="0" applyFont="1"/>
    <xf numFmtId="164" fontId="9" fillId="0" borderId="0" xfId="0" applyNumberFormat="1" applyFont="1" applyAlignment="1">
      <alignment horizontal="right"/>
    </xf>
    <xf numFmtId="0" fontId="13" fillId="21" borderId="0" xfId="0" applyFont="1" applyFill="1"/>
    <xf numFmtId="0" fontId="13" fillId="21" borderId="9" xfId="0" applyFont="1" applyFill="1" applyBorder="1"/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10" xfId="0" applyBorder="1"/>
    <xf numFmtId="0" fontId="8" fillId="0" borderId="10" xfId="0" applyFont="1" applyBorder="1" applyAlignment="1">
      <alignment horizontal="center"/>
    </xf>
    <xf numFmtId="164" fontId="0" fillId="0" borderId="5" xfId="0" applyNumberFormat="1" applyBorder="1"/>
    <xf numFmtId="164" fontId="0" fillId="0" borderId="8" xfId="0" applyNumberFormat="1" applyBorder="1"/>
    <xf numFmtId="164" fontId="0" fillId="20" borderId="0" xfId="0" applyNumberFormat="1" applyFill="1"/>
    <xf numFmtId="164" fontId="0" fillId="20" borderId="5" xfId="0" applyNumberFormat="1" applyFill="1" applyBorder="1"/>
    <xf numFmtId="164" fontId="0" fillId="20" borderId="8" xfId="0" applyNumberFormat="1" applyFill="1" applyBorder="1"/>
    <xf numFmtId="0" fontId="0" fillId="20" borderId="10" xfId="0" applyFill="1" applyBorder="1"/>
    <xf numFmtId="0" fontId="13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164" fontId="9" fillId="15" borderId="0" xfId="0" applyNumberFormat="1" applyFont="1" applyFill="1"/>
    <xf numFmtId="164" fontId="9" fillId="14" borderId="0" xfId="0" applyNumberFormat="1" applyFont="1" applyFill="1"/>
    <xf numFmtId="164" fontId="9" fillId="13" borderId="0" xfId="0" applyNumberFormat="1" applyFont="1" applyFill="1"/>
    <xf numFmtId="164" fontId="9" fillId="17" borderId="0" xfId="0" applyNumberFormat="1" applyFont="1" applyFill="1"/>
    <xf numFmtId="164" fontId="9" fillId="0" borderId="0" xfId="0" applyNumberFormat="1" applyFont="1"/>
    <xf numFmtId="0" fontId="20" fillId="0" borderId="0" xfId="0" applyFont="1"/>
    <xf numFmtId="0" fontId="13" fillId="13" borderId="0" xfId="0" applyFont="1" applyFill="1"/>
    <xf numFmtId="0" fontId="13" fillId="13" borderId="0" xfId="0" applyFont="1" applyFill="1" applyAlignment="1">
      <alignment horizontal="right"/>
    </xf>
    <xf numFmtId="164" fontId="13" fillId="13" borderId="0" xfId="0" applyNumberFormat="1" applyFont="1" applyFill="1" applyAlignment="1">
      <alignment horizontal="right"/>
    </xf>
    <xf numFmtId="164" fontId="20" fillId="0" borderId="0" xfId="0" applyNumberFormat="1" applyFont="1"/>
    <xf numFmtId="0" fontId="20" fillId="23" borderId="0" xfId="0" applyFont="1" applyFill="1"/>
    <xf numFmtId="0" fontId="13" fillId="15" borderId="0" xfId="0" applyFont="1" applyFill="1"/>
    <xf numFmtId="0" fontId="13" fillId="15" borderId="0" xfId="0" applyFont="1" applyFill="1" applyAlignment="1">
      <alignment horizontal="right"/>
    </xf>
    <xf numFmtId="164" fontId="13" fillId="15" borderId="0" xfId="0" applyNumberFormat="1" applyFont="1" applyFill="1" applyAlignment="1">
      <alignment horizontal="right"/>
    </xf>
    <xf numFmtId="0" fontId="13" fillId="17" borderId="0" xfId="0" applyFont="1" applyFill="1"/>
    <xf numFmtId="0" fontId="13" fillId="17" borderId="0" xfId="0" applyFont="1" applyFill="1" applyAlignment="1">
      <alignment horizontal="right"/>
    </xf>
    <xf numFmtId="164" fontId="13" fillId="17" borderId="0" xfId="0" applyNumberFormat="1" applyFont="1" applyFill="1" applyAlignment="1">
      <alignment horizontal="right"/>
    </xf>
    <xf numFmtId="0" fontId="13" fillId="18" borderId="0" xfId="0" applyFont="1" applyFill="1"/>
    <xf numFmtId="0" fontId="21" fillId="18" borderId="0" xfId="0" applyFont="1" applyFill="1" applyAlignment="1">
      <alignment horizontal="right"/>
    </xf>
    <xf numFmtId="164" fontId="13" fillId="18" borderId="0" xfId="0" applyNumberFormat="1" applyFont="1" applyFill="1" applyAlignment="1">
      <alignment horizontal="right"/>
    </xf>
    <xf numFmtId="0" fontId="13" fillId="14" borderId="0" xfId="0" applyFont="1" applyFill="1"/>
    <xf numFmtId="0" fontId="13" fillId="14" borderId="0" xfId="0" applyFont="1" applyFill="1" applyAlignment="1">
      <alignment horizontal="right"/>
    </xf>
    <xf numFmtId="164" fontId="13" fillId="14" borderId="0" xfId="0" applyNumberFormat="1" applyFont="1" applyFill="1" applyAlignment="1">
      <alignment horizontal="right"/>
    </xf>
    <xf numFmtId="0" fontId="13" fillId="0" borderId="0" xfId="0" applyFont="1" applyAlignment="1">
      <alignment horizontal="right"/>
    </xf>
    <xf numFmtId="164" fontId="13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0" fontId="22" fillId="0" borderId="0" xfId="0" applyFont="1"/>
    <xf numFmtId="0" fontId="20" fillId="20" borderId="0" xfId="0" applyFont="1" applyFill="1"/>
    <xf numFmtId="0" fontId="0" fillId="20" borderId="0" xfId="0" applyFill="1"/>
    <xf numFmtId="2" fontId="0" fillId="20" borderId="0" xfId="0" applyNumberFormat="1" applyFill="1" applyAlignment="1">
      <alignment horizontal="right"/>
    </xf>
    <xf numFmtId="164" fontId="13" fillId="13" borderId="0" xfId="0" applyNumberFormat="1" applyFont="1" applyFill="1"/>
    <xf numFmtId="164" fontId="13" fillId="14" borderId="0" xfId="0" applyNumberFormat="1" applyFont="1" applyFill="1"/>
    <xf numFmtId="164" fontId="13" fillId="15" borderId="0" xfId="0" applyNumberFormat="1" applyFont="1" applyFill="1"/>
    <xf numFmtId="0" fontId="3" fillId="23" borderId="0" xfId="0" applyFont="1" applyFill="1"/>
    <xf numFmtId="0" fontId="23" fillId="0" borderId="0" xfId="0" applyFont="1"/>
    <xf numFmtId="0" fontId="22" fillId="20" borderId="0" xfId="0" applyFont="1" applyFill="1"/>
    <xf numFmtId="164" fontId="8" fillId="22" borderId="0" xfId="0" applyNumberFormat="1" applyFont="1" applyFill="1" applyAlignment="1">
      <alignment horizontal="right"/>
    </xf>
    <xf numFmtId="164" fontId="1" fillId="20" borderId="0" xfId="0" applyNumberFormat="1" applyFont="1" applyFill="1"/>
    <xf numFmtId="2" fontId="1" fillId="20" borderId="0" xfId="0" applyNumberFormat="1" applyFont="1" applyFill="1" applyAlignment="1">
      <alignment horizontal="right"/>
    </xf>
    <xf numFmtId="2" fontId="8" fillId="20" borderId="10" xfId="0" applyNumberFormat="1" applyFont="1" applyFill="1" applyBorder="1" applyAlignment="1">
      <alignment horizontal="right"/>
    </xf>
    <xf numFmtId="0" fontId="1" fillId="20" borderId="0" xfId="0" applyFont="1" applyFill="1"/>
    <xf numFmtId="1" fontId="8" fillId="20" borderId="0" xfId="0" applyNumberFormat="1" applyFont="1" applyFill="1"/>
    <xf numFmtId="164" fontId="1" fillId="20" borderId="5" xfId="0" applyNumberFormat="1" applyFont="1" applyFill="1" applyBorder="1"/>
    <xf numFmtId="164" fontId="1" fillId="20" borderId="8" xfId="0" applyNumberFormat="1" applyFont="1" applyFill="1" applyBorder="1"/>
    <xf numFmtId="2" fontId="1" fillId="20" borderId="0" xfId="0" applyNumberFormat="1" applyFont="1" applyFill="1"/>
    <xf numFmtId="2" fontId="0" fillId="20" borderId="0" xfId="0" applyNumberFormat="1" applyFill="1"/>
    <xf numFmtId="2" fontId="1" fillId="0" borderId="0" xfId="0" applyNumberFormat="1" applyFont="1"/>
    <xf numFmtId="164" fontId="1" fillId="20" borderId="8" xfId="0" applyNumberFormat="1" applyFont="1" applyFill="1" applyBorder="1" applyAlignment="1">
      <alignment horizontal="right"/>
    </xf>
    <xf numFmtId="2" fontId="9" fillId="0" borderId="0" xfId="0" applyNumberFormat="1" applyFont="1" applyAlignment="1">
      <alignment horizontal="right"/>
    </xf>
    <xf numFmtId="0" fontId="0" fillId="0" borderId="2" xfId="0" applyBorder="1"/>
    <xf numFmtId="0" fontId="24" fillId="0" borderId="3" xfId="0" applyFont="1" applyBorder="1"/>
    <xf numFmtId="0" fontId="0" fillId="0" borderId="3" xfId="0" applyBorder="1"/>
    <xf numFmtId="0" fontId="0" fillId="0" borderId="4" xfId="0" applyBorder="1"/>
    <xf numFmtId="1" fontId="13" fillId="0" borderId="8" xfId="0" applyNumberFormat="1" applyFont="1" applyBorder="1"/>
    <xf numFmtId="2" fontId="1" fillId="0" borderId="8" xfId="0" applyNumberFormat="1" applyFont="1" applyBorder="1"/>
    <xf numFmtId="164" fontId="8" fillId="0" borderId="1" xfId="0" applyNumberFormat="1" applyFont="1" applyBorder="1" applyAlignment="1">
      <alignment horizontal="right"/>
    </xf>
    <xf numFmtId="164" fontId="14" fillId="0" borderId="1" xfId="0" applyNumberFormat="1" applyFont="1" applyBorder="1"/>
    <xf numFmtId="0" fontId="1" fillId="0" borderId="1" xfId="0" applyFont="1" applyBorder="1" applyAlignment="1">
      <alignment horizontal="right"/>
    </xf>
    <xf numFmtId="2" fontId="14" fillId="0" borderId="1" xfId="0" applyNumberFormat="1" applyFont="1" applyBorder="1"/>
    <xf numFmtId="2" fontId="14" fillId="0" borderId="7" xfId="0" applyNumberFormat="1" applyFont="1" applyBorder="1"/>
    <xf numFmtId="0" fontId="8" fillId="0" borderId="10" xfId="0" applyFont="1" applyBorder="1" applyAlignment="1">
      <alignment horizontal="center" wrapText="1"/>
    </xf>
    <xf numFmtId="0" fontId="9" fillId="8" borderId="0" xfId="0" applyFont="1" applyFill="1"/>
    <xf numFmtId="0" fontId="8" fillId="8" borderId="0" xfId="0" applyFont="1" applyFill="1"/>
    <xf numFmtId="0" fontId="8" fillId="24" borderId="0" xfId="0" applyFont="1" applyFill="1" applyAlignment="1">
      <alignment horizontal="center"/>
    </xf>
    <xf numFmtId="0" fontId="20" fillId="25" borderId="0" xfId="0" applyFont="1" applyFill="1"/>
    <xf numFmtId="164" fontId="19" fillId="0" borderId="0" xfId="0" applyNumberFormat="1" applyFont="1"/>
    <xf numFmtId="2" fontId="19" fillId="0" borderId="0" xfId="0" applyNumberFormat="1" applyFont="1"/>
    <xf numFmtId="0" fontId="8" fillId="0" borderId="0" xfId="2" applyFont="1"/>
    <xf numFmtId="0" fontId="9" fillId="8" borderId="0" xfId="2" applyFont="1" applyFill="1"/>
    <xf numFmtId="0" fontId="9" fillId="9" borderId="0" xfId="2" applyFont="1" applyFill="1"/>
    <xf numFmtId="0" fontId="8" fillId="0" borderId="0" xfId="2" applyFont="1" applyAlignment="1">
      <alignment horizontal="center"/>
    </xf>
    <xf numFmtId="0" fontId="8" fillId="8" borderId="0" xfId="2" applyFont="1" applyFill="1"/>
    <xf numFmtId="0" fontId="9" fillId="0" borderId="0" xfId="2" applyFont="1"/>
    <xf numFmtId="1" fontId="9" fillId="0" borderId="0" xfId="2" applyNumberFormat="1" applyFont="1"/>
    <xf numFmtId="2" fontId="9" fillId="0" borderId="0" xfId="2" applyNumberFormat="1" applyFont="1"/>
    <xf numFmtId="0" fontId="8" fillId="0" borderId="0" xfId="2" applyFont="1" applyAlignment="1">
      <alignment horizontal="right"/>
    </xf>
    <xf numFmtId="164" fontId="9" fillId="0" borderId="0" xfId="2" applyNumberFormat="1" applyFont="1"/>
    <xf numFmtId="2" fontId="7" fillId="0" borderId="0" xfId="2" applyNumberFormat="1"/>
    <xf numFmtId="0" fontId="1" fillId="3" borderId="2" xfId="0" applyFont="1" applyFill="1" applyBorder="1"/>
    <xf numFmtId="0" fontId="1" fillId="0" borderId="1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0" fillId="0" borderId="0" xfId="0" applyNumberFormat="1"/>
    <xf numFmtId="0" fontId="3" fillId="23" borderId="1" xfId="0" applyFont="1" applyFill="1" applyBorder="1"/>
    <xf numFmtId="0" fontId="20" fillId="23" borderId="1" xfId="0" applyFont="1" applyFill="1" applyBorder="1"/>
    <xf numFmtId="0" fontId="7" fillId="0" borderId="0" xfId="0" applyFont="1"/>
    <xf numFmtId="0" fontId="26" fillId="0" borderId="0" xfId="0" applyFont="1"/>
    <xf numFmtId="0" fontId="6" fillId="0" borderId="13" xfId="0" applyFont="1" applyBorder="1" applyAlignment="1">
      <alignment horizontal="right"/>
    </xf>
    <xf numFmtId="0" fontId="1" fillId="0" borderId="7" xfId="0" applyFont="1" applyBorder="1"/>
    <xf numFmtId="0" fontId="5" fillId="0" borderId="5" xfId="0" applyFont="1" applyBorder="1"/>
    <xf numFmtId="0" fontId="5" fillId="0" borderId="6" xfId="0" applyFont="1" applyBorder="1"/>
    <xf numFmtId="164" fontId="0" fillId="0" borderId="7" xfId="0" applyNumberFormat="1" applyBorder="1"/>
    <xf numFmtId="0" fontId="6" fillId="0" borderId="14" xfId="0" applyFont="1" applyBorder="1" applyAlignment="1">
      <alignment horizontal="center"/>
    </xf>
    <xf numFmtId="0" fontId="5" fillId="0" borderId="0" xfId="0" applyFont="1"/>
    <xf numFmtId="164" fontId="5" fillId="0" borderId="8" xfId="0" applyNumberFormat="1" applyFont="1" applyBorder="1"/>
    <xf numFmtId="0" fontId="6" fillId="0" borderId="6" xfId="0" applyFont="1" applyBorder="1" applyAlignment="1">
      <alignment horizontal="right"/>
    </xf>
    <xf numFmtId="0" fontId="6" fillId="0" borderId="0" xfId="0" applyFont="1" applyAlignment="1">
      <alignment horizontal="center"/>
    </xf>
    <xf numFmtId="0" fontId="28" fillId="0" borderId="0" xfId="0" applyFont="1"/>
    <xf numFmtId="0" fontId="3" fillId="0" borderId="0" xfId="2" applyFont="1"/>
    <xf numFmtId="0" fontId="9" fillId="0" borderId="1" xfId="0" applyFont="1" applyBorder="1"/>
    <xf numFmtId="0" fontId="9" fillId="8" borderId="1" xfId="0" applyFont="1" applyFill="1" applyBorder="1"/>
    <xf numFmtId="0" fontId="1" fillId="0" borderId="11" xfId="0" applyFont="1" applyBorder="1"/>
    <xf numFmtId="0" fontId="0" fillId="0" borderId="11" xfId="0" applyBorder="1"/>
    <xf numFmtId="0" fontId="1" fillId="0" borderId="3" xfId="0" applyFont="1" applyBorder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9" fillId="0" borderId="0" xfId="3"/>
    <xf numFmtId="164" fontId="7" fillId="0" borderId="0" xfId="2" applyNumberFormat="1"/>
    <xf numFmtId="0" fontId="42" fillId="0" borderId="0" xfId="2" applyFont="1"/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8" fillId="0" borderId="0" xfId="2" applyFont="1" applyAlignment="1">
      <alignment horizontal="center"/>
    </xf>
    <xf numFmtId="0" fontId="7" fillId="0" borderId="0" xfId="2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0" xfId="0"/>
    <xf numFmtId="0" fontId="8" fillId="0" borderId="0" xfId="0" applyFont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</cellXfs>
  <cellStyles count="4">
    <cellStyle name="Hyperlink" xfId="3" builtinId="8"/>
    <cellStyle name="Normal" xfId="0" builtinId="0"/>
    <cellStyle name="Normal 2" xfId="1" xr:uid="{00000000-0005-0000-0000-000002000000}"/>
    <cellStyle name="Normal 3" xfId="2" xr:uid="{00000000-0005-0000-0000-000003000000}"/>
  </cellStyles>
  <dxfs count="0"/>
  <tableStyles count="0" defaultTableStyle="TableStyleMedium2" defaultPivotStyle="PivotStyleLight16"/>
  <colors>
    <mruColors>
      <color rgb="FFFFCCFF"/>
      <color rgb="FFBC70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038/s41598-023-27411-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E5" sqref="E5"/>
    </sheetView>
  </sheetViews>
  <sheetFormatPr baseColWidth="10" defaultRowHeight="15" x14ac:dyDescent="0.2"/>
  <sheetData>
    <row r="1" spans="1:5" ht="25" x14ac:dyDescent="0.25">
      <c r="A1" s="203" t="s">
        <v>144</v>
      </c>
    </row>
    <row r="2" spans="1:5" x14ac:dyDescent="0.2">
      <c r="A2" s="183"/>
    </row>
    <row r="3" spans="1:5" ht="20" x14ac:dyDescent="0.2">
      <c r="A3" s="204" t="s">
        <v>141</v>
      </c>
    </row>
    <row r="4" spans="1:5" ht="16" x14ac:dyDescent="0.2">
      <c r="A4" s="184" t="s">
        <v>142</v>
      </c>
    </row>
    <row r="5" spans="1:5" ht="16" x14ac:dyDescent="0.2">
      <c r="A5" s="184" t="s">
        <v>145</v>
      </c>
      <c r="B5" s="184"/>
      <c r="C5" s="184"/>
      <c r="D5" s="184"/>
      <c r="E5" s="205" t="s">
        <v>146</v>
      </c>
    </row>
    <row r="6" spans="1:5" x14ac:dyDescent="0.2">
      <c r="A6" s="183" t="s">
        <v>143</v>
      </c>
    </row>
    <row r="8" spans="1:5" x14ac:dyDescent="0.2">
      <c r="A8" s="183" t="s">
        <v>149</v>
      </c>
    </row>
    <row r="10" spans="1:5" x14ac:dyDescent="0.2">
      <c r="A10" s="183" t="s">
        <v>150</v>
      </c>
    </row>
    <row r="12" spans="1:5" ht="16" x14ac:dyDescent="0.2">
      <c r="A12" s="184" t="s">
        <v>148</v>
      </c>
    </row>
    <row r="14" spans="1:5" x14ac:dyDescent="0.2">
      <c r="A14" s="183" t="s">
        <v>147</v>
      </c>
    </row>
  </sheetData>
  <hyperlinks>
    <hyperlink ref="E5" r:id="rId1" xr:uid="{00000000-0004-0000-0000-000000000000}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7"/>
  <sheetViews>
    <sheetView workbookViewId="0">
      <pane ySplit="5" topLeftCell="A6" activePane="bottomLeft" state="frozen"/>
      <selection pane="bottomLeft" activeCell="A5" sqref="A5:B5"/>
    </sheetView>
  </sheetViews>
  <sheetFormatPr baseColWidth="10" defaultRowHeight="15" x14ac:dyDescent="0.2"/>
  <cols>
    <col min="1" max="1" width="10.1640625" customWidth="1"/>
    <col min="3" max="3" width="21.5" customWidth="1"/>
    <col min="4" max="4" width="10.33203125" customWidth="1"/>
    <col min="5" max="5" width="12.33203125" customWidth="1"/>
    <col min="6" max="6" width="22" customWidth="1"/>
    <col min="7" max="7" width="10.5" customWidth="1"/>
    <col min="8" max="8" width="13.33203125" customWidth="1"/>
    <col min="9" max="9" width="21.6640625" customWidth="1"/>
    <col min="10" max="10" width="10.33203125" customWidth="1"/>
    <col min="11" max="11" width="12.6640625" customWidth="1"/>
    <col min="12" max="12" width="18.6640625" customWidth="1"/>
  </cols>
  <sheetData>
    <row r="1" spans="1:12" x14ac:dyDescent="0.2">
      <c r="A1" s="195" t="s">
        <v>128</v>
      </c>
    </row>
    <row r="2" spans="1:12" x14ac:dyDescent="0.2">
      <c r="A2" s="183" t="s">
        <v>122</v>
      </c>
      <c r="E2" s="183" t="s">
        <v>123</v>
      </c>
    </row>
    <row r="4" spans="1:12" x14ac:dyDescent="0.2">
      <c r="A4" s="148"/>
      <c r="B4" s="208" t="s">
        <v>124</v>
      </c>
      <c r="C4" s="209"/>
      <c r="D4" s="148"/>
      <c r="E4" s="210" t="s">
        <v>30</v>
      </c>
      <c r="F4" s="211"/>
      <c r="G4" s="148"/>
      <c r="H4" s="212" t="s">
        <v>32</v>
      </c>
      <c r="I4" s="213"/>
      <c r="J4" s="148"/>
      <c r="K4" s="214" t="s">
        <v>125</v>
      </c>
      <c r="L4" s="215"/>
    </row>
    <row r="5" spans="1:12" x14ac:dyDescent="0.2">
      <c r="A5" s="185" t="s">
        <v>29</v>
      </c>
      <c r="B5" s="46" t="s">
        <v>126</v>
      </c>
      <c r="C5" s="186" t="s">
        <v>31</v>
      </c>
      <c r="D5" s="193" t="s">
        <v>29</v>
      </c>
      <c r="E5" s="194" t="s">
        <v>127</v>
      </c>
      <c r="F5" s="190" t="s">
        <v>31</v>
      </c>
      <c r="G5" s="193" t="s">
        <v>29</v>
      </c>
      <c r="H5" s="194" t="s">
        <v>127</v>
      </c>
      <c r="I5" s="190" t="s">
        <v>31</v>
      </c>
      <c r="J5" s="193" t="s">
        <v>29</v>
      </c>
      <c r="K5" s="194" t="s">
        <v>127</v>
      </c>
      <c r="L5" s="190" t="s">
        <v>31</v>
      </c>
    </row>
    <row r="6" spans="1:12" x14ac:dyDescent="0.2">
      <c r="A6" s="187">
        <v>1</v>
      </c>
      <c r="B6">
        <v>47</v>
      </c>
      <c r="C6" s="92">
        <v>437.875</v>
      </c>
      <c r="D6" s="187">
        <v>1</v>
      </c>
      <c r="E6" s="191">
        <v>28</v>
      </c>
      <c r="F6" s="192">
        <v>35.751531526794906</v>
      </c>
      <c r="G6" s="31">
        <v>1</v>
      </c>
      <c r="H6">
        <v>29</v>
      </c>
      <c r="I6" s="92">
        <v>65.025999999999996</v>
      </c>
      <c r="J6" s="31">
        <v>1</v>
      </c>
      <c r="K6">
        <v>10</v>
      </c>
      <c r="L6" s="92">
        <v>47.46</v>
      </c>
    </row>
    <row r="7" spans="1:12" x14ac:dyDescent="0.2">
      <c r="A7" s="187">
        <v>2</v>
      </c>
      <c r="B7">
        <v>27</v>
      </c>
      <c r="C7" s="92">
        <v>296.07500000000005</v>
      </c>
      <c r="D7" s="187">
        <v>2</v>
      </c>
      <c r="E7" s="191">
        <v>38</v>
      </c>
      <c r="F7" s="192">
        <v>33.937557400000003</v>
      </c>
      <c r="G7" s="31">
        <v>2</v>
      </c>
      <c r="H7">
        <v>35</v>
      </c>
      <c r="I7" s="92">
        <v>41.668686400000006</v>
      </c>
      <c r="J7" s="31">
        <v>2</v>
      </c>
      <c r="K7">
        <v>10</v>
      </c>
      <c r="L7" s="92">
        <v>41.7987185</v>
      </c>
    </row>
    <row r="8" spans="1:12" x14ac:dyDescent="0.2">
      <c r="A8" s="187">
        <v>3</v>
      </c>
      <c r="B8">
        <v>25</v>
      </c>
      <c r="C8" s="92">
        <v>241.125</v>
      </c>
      <c r="D8" s="187">
        <v>3</v>
      </c>
      <c r="E8" s="191">
        <v>42</v>
      </c>
      <c r="F8" s="192">
        <v>20.816381399999997</v>
      </c>
      <c r="G8" s="31">
        <v>3</v>
      </c>
      <c r="H8">
        <v>31</v>
      </c>
      <c r="I8" s="92">
        <v>62.908999999999992</v>
      </c>
      <c r="J8" s="31">
        <v>3</v>
      </c>
      <c r="K8">
        <v>15</v>
      </c>
      <c r="L8" s="92">
        <v>83.598470200000008</v>
      </c>
    </row>
    <row r="9" spans="1:12" x14ac:dyDescent="0.2">
      <c r="A9" s="187">
        <v>4</v>
      </c>
      <c r="B9">
        <v>23</v>
      </c>
      <c r="C9" s="92">
        <v>179.125</v>
      </c>
      <c r="D9" s="187">
        <v>4</v>
      </c>
      <c r="E9" s="191">
        <v>5</v>
      </c>
      <c r="F9" s="192">
        <v>3.1020000000000003</v>
      </c>
      <c r="G9" s="31">
        <v>4</v>
      </c>
      <c r="H9">
        <v>7</v>
      </c>
      <c r="I9" s="92">
        <v>15.8</v>
      </c>
      <c r="J9" s="31">
        <v>4</v>
      </c>
      <c r="K9">
        <v>21</v>
      </c>
      <c r="L9" s="92">
        <v>69.989396999999997</v>
      </c>
    </row>
    <row r="10" spans="1:12" x14ac:dyDescent="0.2">
      <c r="A10" s="187">
        <v>5</v>
      </c>
      <c r="B10">
        <v>20</v>
      </c>
      <c r="C10" s="92">
        <v>511.375</v>
      </c>
      <c r="D10" s="187">
        <v>5</v>
      </c>
      <c r="E10" s="191">
        <v>3</v>
      </c>
      <c r="F10" s="192">
        <v>1.8776990816987242</v>
      </c>
      <c r="G10" s="31">
        <v>5</v>
      </c>
      <c r="H10">
        <v>3</v>
      </c>
      <c r="I10" s="92">
        <v>68.89</v>
      </c>
      <c r="J10" s="31">
        <v>5</v>
      </c>
      <c r="K10">
        <v>10</v>
      </c>
      <c r="L10" s="92">
        <v>21.68562</v>
      </c>
    </row>
    <row r="11" spans="1:12" x14ac:dyDescent="0.2">
      <c r="A11" s="187">
        <v>6</v>
      </c>
      <c r="B11">
        <v>23</v>
      </c>
      <c r="C11" s="92">
        <v>298.25</v>
      </c>
      <c r="D11" s="187">
        <v>6</v>
      </c>
      <c r="E11" s="191">
        <v>20</v>
      </c>
      <c r="F11" s="192">
        <v>13.613</v>
      </c>
      <c r="G11" s="31">
        <v>6</v>
      </c>
      <c r="H11">
        <v>15</v>
      </c>
      <c r="I11" s="92">
        <v>40.202000000000005</v>
      </c>
      <c r="J11" s="31">
        <v>6</v>
      </c>
      <c r="K11">
        <v>56</v>
      </c>
      <c r="L11" s="92">
        <v>128.14686</v>
      </c>
    </row>
    <row r="12" spans="1:12" x14ac:dyDescent="0.2">
      <c r="A12" s="187">
        <v>7</v>
      </c>
      <c r="B12">
        <v>22</v>
      </c>
      <c r="C12" s="92">
        <v>281.41952500000002</v>
      </c>
      <c r="D12" s="187">
        <v>7</v>
      </c>
      <c r="E12" s="191">
        <v>14</v>
      </c>
      <c r="F12" s="192">
        <v>9.7720000000000002</v>
      </c>
      <c r="G12" s="31">
        <v>7</v>
      </c>
      <c r="H12">
        <v>7</v>
      </c>
      <c r="I12" s="92">
        <v>26.369524999999999</v>
      </c>
      <c r="J12" s="31">
        <v>7</v>
      </c>
      <c r="K12">
        <v>61</v>
      </c>
      <c r="L12" s="92">
        <v>180.33045340000001</v>
      </c>
    </row>
    <row r="13" spans="1:12" x14ac:dyDescent="0.2">
      <c r="A13" s="187">
        <v>8</v>
      </c>
      <c r="B13">
        <v>12</v>
      </c>
      <c r="C13" s="92">
        <v>305.375</v>
      </c>
      <c r="D13" s="187">
        <v>8</v>
      </c>
      <c r="E13" s="191">
        <v>10</v>
      </c>
      <c r="F13" s="192">
        <v>13.093</v>
      </c>
      <c r="G13" s="31">
        <v>8</v>
      </c>
      <c r="H13">
        <v>9</v>
      </c>
      <c r="I13" s="92">
        <v>19.927</v>
      </c>
      <c r="J13" s="31">
        <v>8</v>
      </c>
      <c r="K13">
        <v>54</v>
      </c>
      <c r="L13" s="92">
        <v>132.409525</v>
      </c>
    </row>
    <row r="14" spans="1:12" x14ac:dyDescent="0.2">
      <c r="A14" s="187">
        <v>9</v>
      </c>
      <c r="B14">
        <v>14</v>
      </c>
      <c r="C14" s="92">
        <v>105.44635</v>
      </c>
      <c r="D14" s="187">
        <v>9</v>
      </c>
      <c r="E14" s="191">
        <v>10</v>
      </c>
      <c r="F14" s="192">
        <v>21.722029000000003</v>
      </c>
      <c r="G14" s="31">
        <v>9</v>
      </c>
      <c r="H14">
        <v>16</v>
      </c>
      <c r="I14" s="92">
        <v>40.65</v>
      </c>
      <c r="J14" s="31">
        <v>9</v>
      </c>
      <c r="K14">
        <v>13</v>
      </c>
      <c r="L14" s="92">
        <v>22.856947999999999</v>
      </c>
    </row>
    <row r="15" spans="1:12" x14ac:dyDescent="0.2">
      <c r="A15" s="187">
        <v>10</v>
      </c>
      <c r="B15">
        <v>21</v>
      </c>
      <c r="C15" s="92">
        <v>188.25</v>
      </c>
      <c r="D15" s="187">
        <v>10</v>
      </c>
      <c r="E15" s="191">
        <v>7</v>
      </c>
      <c r="F15" s="192">
        <v>5.6392740000000003</v>
      </c>
      <c r="G15" s="31">
        <v>10</v>
      </c>
      <c r="H15">
        <v>5</v>
      </c>
      <c r="I15" s="92">
        <v>5</v>
      </c>
      <c r="J15" s="31">
        <v>10</v>
      </c>
      <c r="K15">
        <v>16</v>
      </c>
      <c r="L15" s="92">
        <v>39.441510399999999</v>
      </c>
    </row>
    <row r="16" spans="1:12" x14ac:dyDescent="0.2">
      <c r="A16" s="187">
        <v>11</v>
      </c>
      <c r="B16">
        <v>48</v>
      </c>
      <c r="C16" s="92">
        <v>276.84098699999998</v>
      </c>
      <c r="D16" s="187">
        <v>11</v>
      </c>
      <c r="E16" s="191">
        <v>33</v>
      </c>
      <c r="F16" s="192">
        <v>11.160999999999994</v>
      </c>
      <c r="G16" s="31">
        <v>11</v>
      </c>
      <c r="H16">
        <v>12</v>
      </c>
      <c r="I16" s="92">
        <v>19.824036</v>
      </c>
      <c r="J16" s="31">
        <v>11</v>
      </c>
      <c r="K16">
        <v>18</v>
      </c>
      <c r="L16" s="92">
        <v>53.288269</v>
      </c>
    </row>
    <row r="17" spans="1:12" x14ac:dyDescent="0.2">
      <c r="A17" s="187">
        <v>12</v>
      </c>
      <c r="B17">
        <v>53</v>
      </c>
      <c r="C17" s="92">
        <v>328.419085</v>
      </c>
      <c r="D17" s="187">
        <v>12</v>
      </c>
      <c r="E17" s="191">
        <v>24</v>
      </c>
      <c r="F17" s="192">
        <v>3.6009999999999995</v>
      </c>
      <c r="G17" s="31">
        <v>12</v>
      </c>
      <c r="H17">
        <v>8</v>
      </c>
      <c r="I17" s="92">
        <v>28.25</v>
      </c>
      <c r="J17" s="31">
        <v>12</v>
      </c>
      <c r="K17">
        <v>19</v>
      </c>
      <c r="L17" s="92">
        <v>65.758350000000007</v>
      </c>
    </row>
    <row r="18" spans="1:12" x14ac:dyDescent="0.2">
      <c r="A18" s="187">
        <v>13</v>
      </c>
      <c r="B18">
        <v>33</v>
      </c>
      <c r="C18" s="92">
        <v>437</v>
      </c>
      <c r="D18" s="187">
        <v>13</v>
      </c>
      <c r="E18" s="191">
        <v>32</v>
      </c>
      <c r="F18" s="192">
        <v>15.673999999999999</v>
      </c>
      <c r="G18" s="31">
        <v>13</v>
      </c>
      <c r="H18">
        <v>13</v>
      </c>
      <c r="I18" s="92">
        <v>80.924999999999997</v>
      </c>
      <c r="J18" s="31">
        <v>13</v>
      </c>
      <c r="K18">
        <v>20</v>
      </c>
      <c r="L18" s="92">
        <v>39.126989799999997</v>
      </c>
    </row>
    <row r="19" spans="1:12" x14ac:dyDescent="0.2">
      <c r="A19" s="187">
        <v>14</v>
      </c>
      <c r="B19">
        <v>31</v>
      </c>
      <c r="C19" s="92">
        <v>690.5</v>
      </c>
      <c r="D19" s="31"/>
      <c r="F19" s="27"/>
      <c r="G19" s="31">
        <v>14</v>
      </c>
      <c r="H19">
        <v>36</v>
      </c>
      <c r="I19" s="92">
        <v>57.150328000000002</v>
      </c>
      <c r="J19" s="31">
        <v>14</v>
      </c>
      <c r="K19">
        <v>12</v>
      </c>
      <c r="L19" s="92">
        <v>52.503464199999996</v>
      </c>
    </row>
    <row r="20" spans="1:12" x14ac:dyDescent="0.2">
      <c r="A20" s="187">
        <v>15</v>
      </c>
      <c r="B20">
        <v>28</v>
      </c>
      <c r="C20" s="92">
        <v>516.08259999999996</v>
      </c>
      <c r="D20" s="31"/>
      <c r="F20" s="27"/>
      <c r="G20" s="31">
        <v>15</v>
      </c>
      <c r="H20">
        <v>27</v>
      </c>
      <c r="I20" s="92">
        <v>61.553286</v>
      </c>
      <c r="J20" s="31">
        <v>15</v>
      </c>
      <c r="K20">
        <v>12</v>
      </c>
      <c r="L20" s="92">
        <v>44.130853000000009</v>
      </c>
    </row>
    <row r="21" spans="1:12" x14ac:dyDescent="0.2">
      <c r="A21" s="187">
        <v>16</v>
      </c>
      <c r="B21">
        <v>5</v>
      </c>
      <c r="C21" s="92">
        <v>121.19635</v>
      </c>
      <c r="D21" s="31"/>
      <c r="F21" s="27"/>
      <c r="G21" s="31"/>
      <c r="I21" s="27"/>
      <c r="J21" s="31">
        <v>16</v>
      </c>
      <c r="K21">
        <v>14</v>
      </c>
      <c r="L21" s="92">
        <v>37.389029000000001</v>
      </c>
    </row>
    <row r="22" spans="1:12" x14ac:dyDescent="0.2">
      <c r="A22" s="187">
        <v>17</v>
      </c>
      <c r="B22">
        <v>7</v>
      </c>
      <c r="C22" s="92">
        <v>110.952269</v>
      </c>
      <c r="D22" s="31"/>
      <c r="F22" s="27"/>
      <c r="G22" s="31"/>
      <c r="I22" s="27"/>
      <c r="J22" s="31">
        <v>17</v>
      </c>
      <c r="K22">
        <v>33</v>
      </c>
      <c r="L22" s="92">
        <v>62.554986000000007</v>
      </c>
    </row>
    <row r="23" spans="1:12" x14ac:dyDescent="0.2">
      <c r="A23" s="187">
        <v>18</v>
      </c>
      <c r="B23">
        <v>9</v>
      </c>
      <c r="C23" s="92">
        <v>168.375</v>
      </c>
      <c r="D23" s="31"/>
      <c r="F23" s="27"/>
      <c r="G23" s="31"/>
      <c r="I23" s="27"/>
      <c r="J23" s="31">
        <v>18</v>
      </c>
      <c r="K23">
        <v>23</v>
      </c>
      <c r="L23" s="92">
        <v>67.834524999999999</v>
      </c>
    </row>
    <row r="24" spans="1:12" x14ac:dyDescent="0.2">
      <c r="A24" s="187">
        <v>19</v>
      </c>
      <c r="B24">
        <v>12</v>
      </c>
      <c r="C24" s="92">
        <v>54.83175</v>
      </c>
      <c r="D24" s="31"/>
      <c r="F24" s="27"/>
      <c r="G24" s="31"/>
      <c r="I24" s="27"/>
      <c r="J24" s="31">
        <v>19</v>
      </c>
      <c r="K24">
        <v>73</v>
      </c>
      <c r="L24" s="92">
        <v>215.306003</v>
      </c>
    </row>
    <row r="25" spans="1:12" x14ac:dyDescent="0.2">
      <c r="A25" s="187">
        <v>20</v>
      </c>
      <c r="B25">
        <v>19</v>
      </c>
      <c r="C25" s="92">
        <v>138.97255000000001</v>
      </c>
      <c r="D25" s="31"/>
      <c r="F25" s="27"/>
      <c r="G25" s="31"/>
      <c r="I25" s="27"/>
      <c r="J25" s="31">
        <v>20</v>
      </c>
      <c r="K25">
        <v>71</v>
      </c>
      <c r="L25" s="92">
        <v>167.34901400000001</v>
      </c>
    </row>
    <row r="26" spans="1:12" x14ac:dyDescent="0.2">
      <c r="A26" s="187">
        <v>21</v>
      </c>
      <c r="B26">
        <v>22</v>
      </c>
      <c r="C26" s="92">
        <v>145.47499999999999</v>
      </c>
      <c r="D26" s="31"/>
      <c r="F26" s="27"/>
      <c r="G26" s="31"/>
      <c r="I26" s="27"/>
      <c r="J26" s="31">
        <v>21</v>
      </c>
      <c r="K26">
        <v>71</v>
      </c>
      <c r="L26" s="92">
        <v>196.26309700000002</v>
      </c>
    </row>
    <row r="27" spans="1:12" s="34" customFormat="1" x14ac:dyDescent="0.2">
      <c r="A27" s="188">
        <v>22</v>
      </c>
      <c r="B27" s="34">
        <v>22</v>
      </c>
      <c r="C27" s="189">
        <v>99.240875000000003</v>
      </c>
      <c r="D27" s="32"/>
      <c r="F27" s="36"/>
      <c r="G27" s="32"/>
      <c r="I27" s="36"/>
      <c r="J27" s="32"/>
      <c r="L27" s="36"/>
    </row>
  </sheetData>
  <mergeCells count="4">
    <mergeCell ref="B4:C4"/>
    <mergeCell ref="E4:F4"/>
    <mergeCell ref="H4:I4"/>
    <mergeCell ref="K4:L4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B2A19-1E71-F649-A38D-AD4931F12E4F}">
  <dimension ref="A1:D72"/>
  <sheetViews>
    <sheetView tabSelected="1" workbookViewId="0">
      <selection activeCell="C7" sqref="C7:D7"/>
    </sheetView>
  </sheetViews>
  <sheetFormatPr baseColWidth="10" defaultRowHeight="15" x14ac:dyDescent="0.2"/>
  <sheetData>
    <row r="1" spans="1:4" x14ac:dyDescent="0.2">
      <c r="A1" s="185" t="s">
        <v>29</v>
      </c>
      <c r="B1" s="46" t="s">
        <v>126</v>
      </c>
      <c r="C1" s="1" t="s">
        <v>152</v>
      </c>
    </row>
    <row r="2" spans="1:4" x14ac:dyDescent="0.2">
      <c r="A2" s="187">
        <v>1</v>
      </c>
      <c r="B2">
        <v>47</v>
      </c>
      <c r="C2" s="232" t="s">
        <v>124</v>
      </c>
      <c r="D2" s="233"/>
    </row>
    <row r="3" spans="1:4" x14ac:dyDescent="0.2">
      <c r="A3" s="187">
        <v>2</v>
      </c>
      <c r="B3">
        <v>27</v>
      </c>
      <c r="C3" s="232" t="s">
        <v>124</v>
      </c>
      <c r="D3" s="233"/>
    </row>
    <row r="4" spans="1:4" x14ac:dyDescent="0.2">
      <c r="A4" s="187">
        <v>3</v>
      </c>
      <c r="B4">
        <v>25</v>
      </c>
      <c r="C4" s="232" t="s">
        <v>124</v>
      </c>
      <c r="D4" s="233"/>
    </row>
    <row r="5" spans="1:4" x14ac:dyDescent="0.2">
      <c r="A5" s="187">
        <v>4</v>
      </c>
      <c r="B5">
        <v>23</v>
      </c>
      <c r="C5" s="232" t="s">
        <v>124</v>
      </c>
      <c r="D5" s="233"/>
    </row>
    <row r="6" spans="1:4" x14ac:dyDescent="0.2">
      <c r="A6" s="187">
        <v>5</v>
      </c>
      <c r="B6">
        <v>20</v>
      </c>
      <c r="C6" s="232" t="s">
        <v>124</v>
      </c>
      <c r="D6" s="233"/>
    </row>
    <row r="7" spans="1:4" x14ac:dyDescent="0.2">
      <c r="A7" s="187">
        <v>6</v>
      </c>
      <c r="B7">
        <v>23</v>
      </c>
      <c r="C7" s="232" t="s">
        <v>124</v>
      </c>
      <c r="D7" s="233"/>
    </row>
    <row r="8" spans="1:4" x14ac:dyDescent="0.2">
      <c r="A8" s="187">
        <v>7</v>
      </c>
      <c r="B8">
        <v>22</v>
      </c>
      <c r="C8" s="232" t="s">
        <v>124</v>
      </c>
      <c r="D8" s="233"/>
    </row>
    <row r="9" spans="1:4" x14ac:dyDescent="0.2">
      <c r="A9" s="187">
        <v>8</v>
      </c>
      <c r="B9">
        <v>12</v>
      </c>
      <c r="C9" s="232" t="s">
        <v>124</v>
      </c>
      <c r="D9" s="233"/>
    </row>
    <row r="10" spans="1:4" x14ac:dyDescent="0.2">
      <c r="A10" s="187">
        <v>9</v>
      </c>
      <c r="B10">
        <v>14</v>
      </c>
      <c r="C10" s="232" t="s">
        <v>124</v>
      </c>
      <c r="D10" s="233"/>
    </row>
    <row r="11" spans="1:4" x14ac:dyDescent="0.2">
      <c r="A11" s="187">
        <v>10</v>
      </c>
      <c r="B11">
        <v>21</v>
      </c>
      <c r="C11" s="232" t="s">
        <v>124</v>
      </c>
      <c r="D11" s="233"/>
    </row>
    <row r="12" spans="1:4" x14ac:dyDescent="0.2">
      <c r="A12" s="187">
        <v>11</v>
      </c>
      <c r="B12">
        <v>48</v>
      </c>
      <c r="C12" s="232" t="s">
        <v>124</v>
      </c>
      <c r="D12" s="233"/>
    </row>
    <row r="13" spans="1:4" x14ac:dyDescent="0.2">
      <c r="A13" s="187">
        <v>12</v>
      </c>
      <c r="B13">
        <v>53</v>
      </c>
      <c r="C13" s="232" t="s">
        <v>124</v>
      </c>
      <c r="D13" s="233"/>
    </row>
    <row r="14" spans="1:4" x14ac:dyDescent="0.2">
      <c r="A14" s="187">
        <v>13</v>
      </c>
      <c r="B14">
        <v>33</v>
      </c>
      <c r="C14" s="232" t="s">
        <v>124</v>
      </c>
      <c r="D14" s="233"/>
    </row>
    <row r="15" spans="1:4" x14ac:dyDescent="0.2">
      <c r="A15" s="187">
        <v>14</v>
      </c>
      <c r="B15">
        <v>31</v>
      </c>
      <c r="C15" s="232" t="s">
        <v>124</v>
      </c>
      <c r="D15" s="233"/>
    </row>
    <row r="16" spans="1:4" x14ac:dyDescent="0.2">
      <c r="A16" s="187">
        <v>15</v>
      </c>
      <c r="B16">
        <v>28</v>
      </c>
      <c r="C16" s="232" t="s">
        <v>124</v>
      </c>
      <c r="D16" s="233"/>
    </row>
    <row r="17" spans="1:4" x14ac:dyDescent="0.2">
      <c r="A17" s="187">
        <v>16</v>
      </c>
      <c r="B17">
        <v>5</v>
      </c>
      <c r="C17" s="232" t="s">
        <v>124</v>
      </c>
      <c r="D17" s="233"/>
    </row>
    <row r="18" spans="1:4" x14ac:dyDescent="0.2">
      <c r="A18" s="187">
        <v>17</v>
      </c>
      <c r="B18">
        <v>7</v>
      </c>
      <c r="C18" s="232" t="s">
        <v>124</v>
      </c>
      <c r="D18" s="233"/>
    </row>
    <row r="19" spans="1:4" x14ac:dyDescent="0.2">
      <c r="A19" s="187">
        <v>18</v>
      </c>
      <c r="B19">
        <v>9</v>
      </c>
      <c r="C19" s="232" t="s">
        <v>124</v>
      </c>
      <c r="D19" s="233"/>
    </row>
    <row r="20" spans="1:4" x14ac:dyDescent="0.2">
      <c r="A20" s="187">
        <v>19</v>
      </c>
      <c r="B20">
        <v>12</v>
      </c>
      <c r="C20" s="232" t="s">
        <v>124</v>
      </c>
      <c r="D20" s="233"/>
    </row>
    <row r="21" spans="1:4" x14ac:dyDescent="0.2">
      <c r="A21" s="187">
        <v>20</v>
      </c>
      <c r="B21">
        <v>19</v>
      </c>
      <c r="C21" s="232" t="s">
        <v>124</v>
      </c>
      <c r="D21" s="233"/>
    </row>
    <row r="22" spans="1:4" x14ac:dyDescent="0.2">
      <c r="A22" s="187">
        <v>21</v>
      </c>
      <c r="B22">
        <v>22</v>
      </c>
      <c r="C22" s="232" t="s">
        <v>124</v>
      </c>
      <c r="D22" s="233"/>
    </row>
    <row r="23" spans="1:4" x14ac:dyDescent="0.2">
      <c r="A23" s="188">
        <v>22</v>
      </c>
      <c r="B23" s="34">
        <v>22</v>
      </c>
      <c r="C23" s="232" t="s">
        <v>124</v>
      </c>
      <c r="D23" s="233"/>
    </row>
    <row r="24" spans="1:4" x14ac:dyDescent="0.2">
      <c r="A24" s="187">
        <v>1</v>
      </c>
      <c r="B24" s="191">
        <v>28</v>
      </c>
      <c r="C24" s="232" t="s">
        <v>30</v>
      </c>
      <c r="D24" s="233"/>
    </row>
    <row r="25" spans="1:4" x14ac:dyDescent="0.2">
      <c r="A25" s="187">
        <v>2</v>
      </c>
      <c r="B25" s="191">
        <v>38</v>
      </c>
      <c r="C25" s="232" t="s">
        <v>30</v>
      </c>
      <c r="D25" s="233"/>
    </row>
    <row r="26" spans="1:4" x14ac:dyDescent="0.2">
      <c r="A26" s="187">
        <v>3</v>
      </c>
      <c r="B26" s="191">
        <v>42</v>
      </c>
      <c r="C26" s="232" t="s">
        <v>30</v>
      </c>
      <c r="D26" s="233"/>
    </row>
    <row r="27" spans="1:4" x14ac:dyDescent="0.2">
      <c r="A27" s="187">
        <v>4</v>
      </c>
      <c r="B27" s="191">
        <v>5</v>
      </c>
      <c r="C27" s="232" t="s">
        <v>30</v>
      </c>
      <c r="D27" s="233"/>
    </row>
    <row r="28" spans="1:4" x14ac:dyDescent="0.2">
      <c r="A28" s="187">
        <v>5</v>
      </c>
      <c r="B28" s="191">
        <v>3</v>
      </c>
      <c r="C28" s="232" t="s">
        <v>30</v>
      </c>
      <c r="D28" s="233"/>
    </row>
    <row r="29" spans="1:4" x14ac:dyDescent="0.2">
      <c r="A29" s="187">
        <v>6</v>
      </c>
      <c r="B29" s="191">
        <v>20</v>
      </c>
      <c r="C29" s="232" t="s">
        <v>30</v>
      </c>
      <c r="D29" s="233"/>
    </row>
    <row r="30" spans="1:4" x14ac:dyDescent="0.2">
      <c r="A30" s="187">
        <v>7</v>
      </c>
      <c r="B30" s="191">
        <v>14</v>
      </c>
      <c r="C30" s="232" t="s">
        <v>30</v>
      </c>
      <c r="D30" s="233"/>
    </row>
    <row r="31" spans="1:4" x14ac:dyDescent="0.2">
      <c r="A31" s="187">
        <v>8</v>
      </c>
      <c r="B31" s="191">
        <v>10</v>
      </c>
      <c r="C31" s="232" t="s">
        <v>30</v>
      </c>
      <c r="D31" s="233"/>
    </row>
    <row r="32" spans="1:4" x14ac:dyDescent="0.2">
      <c r="A32" s="187">
        <v>9</v>
      </c>
      <c r="B32" s="191">
        <v>10</v>
      </c>
      <c r="C32" s="232" t="s">
        <v>30</v>
      </c>
      <c r="D32" s="233"/>
    </row>
    <row r="33" spans="1:4" x14ac:dyDescent="0.2">
      <c r="A33" s="187">
        <v>10</v>
      </c>
      <c r="B33" s="191">
        <v>7</v>
      </c>
      <c r="C33" s="232" t="s">
        <v>30</v>
      </c>
      <c r="D33" s="233"/>
    </row>
    <row r="34" spans="1:4" x14ac:dyDescent="0.2">
      <c r="A34" s="187">
        <v>11</v>
      </c>
      <c r="B34" s="191">
        <v>33</v>
      </c>
      <c r="C34" s="232" t="s">
        <v>30</v>
      </c>
      <c r="D34" s="233"/>
    </row>
    <row r="35" spans="1:4" x14ac:dyDescent="0.2">
      <c r="A35" s="187">
        <v>12</v>
      </c>
      <c r="B35" s="191">
        <v>24</v>
      </c>
      <c r="C35" s="232" t="s">
        <v>30</v>
      </c>
      <c r="D35" s="233"/>
    </row>
    <row r="36" spans="1:4" x14ac:dyDescent="0.2">
      <c r="A36" s="187">
        <v>13</v>
      </c>
      <c r="B36" s="191">
        <v>32</v>
      </c>
      <c r="C36" s="232" t="s">
        <v>30</v>
      </c>
      <c r="D36" s="233"/>
    </row>
    <row r="37" spans="1:4" x14ac:dyDescent="0.2">
      <c r="A37" s="31">
        <v>1</v>
      </c>
      <c r="B37">
        <v>29</v>
      </c>
      <c r="C37" s="234" t="s">
        <v>32</v>
      </c>
      <c r="D37" s="235"/>
    </row>
    <row r="38" spans="1:4" x14ac:dyDescent="0.2">
      <c r="A38" s="31">
        <v>2</v>
      </c>
      <c r="B38">
        <v>35</v>
      </c>
      <c r="C38" s="234" t="s">
        <v>32</v>
      </c>
      <c r="D38" s="235"/>
    </row>
    <row r="39" spans="1:4" x14ac:dyDescent="0.2">
      <c r="A39" s="31">
        <v>3</v>
      </c>
      <c r="B39">
        <v>31</v>
      </c>
      <c r="C39" s="234" t="s">
        <v>32</v>
      </c>
      <c r="D39" s="235"/>
    </row>
    <row r="40" spans="1:4" x14ac:dyDescent="0.2">
      <c r="A40" s="31">
        <v>4</v>
      </c>
      <c r="B40">
        <v>7</v>
      </c>
      <c r="C40" s="234" t="s">
        <v>32</v>
      </c>
      <c r="D40" s="235"/>
    </row>
    <row r="41" spans="1:4" x14ac:dyDescent="0.2">
      <c r="A41" s="31">
        <v>5</v>
      </c>
      <c r="B41">
        <v>3</v>
      </c>
      <c r="C41" s="234" t="s">
        <v>32</v>
      </c>
      <c r="D41" s="235"/>
    </row>
    <row r="42" spans="1:4" x14ac:dyDescent="0.2">
      <c r="A42" s="31">
        <v>6</v>
      </c>
      <c r="B42">
        <v>15</v>
      </c>
      <c r="C42" s="234" t="s">
        <v>32</v>
      </c>
      <c r="D42" s="235"/>
    </row>
    <row r="43" spans="1:4" x14ac:dyDescent="0.2">
      <c r="A43" s="31">
        <v>7</v>
      </c>
      <c r="B43">
        <v>7</v>
      </c>
      <c r="C43" s="234" t="s">
        <v>32</v>
      </c>
      <c r="D43" s="235"/>
    </row>
    <row r="44" spans="1:4" x14ac:dyDescent="0.2">
      <c r="A44" s="31">
        <v>8</v>
      </c>
      <c r="B44">
        <v>9</v>
      </c>
      <c r="C44" s="234" t="s">
        <v>32</v>
      </c>
      <c r="D44" s="235"/>
    </row>
    <row r="45" spans="1:4" x14ac:dyDescent="0.2">
      <c r="A45" s="31">
        <v>9</v>
      </c>
      <c r="B45">
        <v>16</v>
      </c>
      <c r="C45" s="234" t="s">
        <v>32</v>
      </c>
      <c r="D45" s="235"/>
    </row>
    <row r="46" spans="1:4" x14ac:dyDescent="0.2">
      <c r="A46" s="31">
        <v>10</v>
      </c>
      <c r="B46">
        <v>5</v>
      </c>
      <c r="C46" s="234" t="s">
        <v>32</v>
      </c>
      <c r="D46" s="235"/>
    </row>
    <row r="47" spans="1:4" x14ac:dyDescent="0.2">
      <c r="A47" s="31">
        <v>11</v>
      </c>
      <c r="B47">
        <v>12</v>
      </c>
      <c r="C47" s="234" t="s">
        <v>32</v>
      </c>
      <c r="D47" s="235"/>
    </row>
    <row r="48" spans="1:4" x14ac:dyDescent="0.2">
      <c r="A48" s="31">
        <v>12</v>
      </c>
      <c r="B48">
        <v>8</v>
      </c>
      <c r="C48" s="234" t="s">
        <v>32</v>
      </c>
      <c r="D48" s="235"/>
    </row>
    <row r="49" spans="1:4" x14ac:dyDescent="0.2">
      <c r="A49" s="31">
        <v>13</v>
      </c>
      <c r="B49">
        <v>13</v>
      </c>
      <c r="C49" s="234" t="s">
        <v>32</v>
      </c>
      <c r="D49" s="235"/>
    </row>
    <row r="50" spans="1:4" x14ac:dyDescent="0.2">
      <c r="A50" s="31">
        <v>14</v>
      </c>
      <c r="B50">
        <v>36</v>
      </c>
      <c r="C50" s="234" t="s">
        <v>32</v>
      </c>
      <c r="D50" s="235"/>
    </row>
    <row r="51" spans="1:4" x14ac:dyDescent="0.2">
      <c r="A51" s="31">
        <v>15</v>
      </c>
      <c r="B51">
        <v>27</v>
      </c>
      <c r="C51" s="234" t="s">
        <v>32</v>
      </c>
      <c r="D51" s="235"/>
    </row>
    <row r="52" spans="1:4" x14ac:dyDescent="0.2">
      <c r="A52" s="31">
        <v>1</v>
      </c>
      <c r="B52">
        <v>10</v>
      </c>
      <c r="C52" s="232" t="s">
        <v>125</v>
      </c>
      <c r="D52" s="233"/>
    </row>
    <row r="53" spans="1:4" x14ac:dyDescent="0.2">
      <c r="A53" s="31">
        <v>2</v>
      </c>
      <c r="B53">
        <v>10</v>
      </c>
      <c r="C53" s="232" t="s">
        <v>125</v>
      </c>
      <c r="D53" s="233"/>
    </row>
    <row r="54" spans="1:4" x14ac:dyDescent="0.2">
      <c r="A54" s="31">
        <v>3</v>
      </c>
      <c r="B54">
        <v>15</v>
      </c>
      <c r="C54" s="232" t="s">
        <v>125</v>
      </c>
      <c r="D54" s="233"/>
    </row>
    <row r="55" spans="1:4" x14ac:dyDescent="0.2">
      <c r="A55" s="31">
        <v>4</v>
      </c>
      <c r="B55">
        <v>21</v>
      </c>
      <c r="C55" s="232" t="s">
        <v>125</v>
      </c>
      <c r="D55" s="233"/>
    </row>
    <row r="56" spans="1:4" x14ac:dyDescent="0.2">
      <c r="A56" s="31">
        <v>5</v>
      </c>
      <c r="B56">
        <v>10</v>
      </c>
      <c r="C56" s="232" t="s">
        <v>125</v>
      </c>
      <c r="D56" s="233"/>
    </row>
    <row r="57" spans="1:4" x14ac:dyDescent="0.2">
      <c r="A57" s="31">
        <v>6</v>
      </c>
      <c r="B57">
        <v>56</v>
      </c>
      <c r="C57" s="232" t="s">
        <v>125</v>
      </c>
      <c r="D57" s="233"/>
    </row>
    <row r="58" spans="1:4" x14ac:dyDescent="0.2">
      <c r="A58" s="31">
        <v>7</v>
      </c>
      <c r="B58">
        <v>61</v>
      </c>
      <c r="C58" s="232" t="s">
        <v>125</v>
      </c>
      <c r="D58" s="233"/>
    </row>
    <row r="59" spans="1:4" x14ac:dyDescent="0.2">
      <c r="A59" s="31">
        <v>8</v>
      </c>
      <c r="B59">
        <v>54</v>
      </c>
      <c r="C59" s="232" t="s">
        <v>125</v>
      </c>
      <c r="D59" s="233"/>
    </row>
    <row r="60" spans="1:4" x14ac:dyDescent="0.2">
      <c r="A60" s="31">
        <v>9</v>
      </c>
      <c r="B60">
        <v>13</v>
      </c>
      <c r="C60" s="232" t="s">
        <v>125</v>
      </c>
      <c r="D60" s="233"/>
    </row>
    <row r="61" spans="1:4" x14ac:dyDescent="0.2">
      <c r="A61" s="31">
        <v>10</v>
      </c>
      <c r="B61">
        <v>16</v>
      </c>
      <c r="C61" s="232" t="s">
        <v>125</v>
      </c>
      <c r="D61" s="233"/>
    </row>
    <row r="62" spans="1:4" x14ac:dyDescent="0.2">
      <c r="A62" s="31">
        <v>11</v>
      </c>
      <c r="B62">
        <v>18</v>
      </c>
      <c r="C62" s="232" t="s">
        <v>125</v>
      </c>
      <c r="D62" s="233"/>
    </row>
    <row r="63" spans="1:4" x14ac:dyDescent="0.2">
      <c r="A63" s="31">
        <v>12</v>
      </c>
      <c r="B63">
        <v>19</v>
      </c>
      <c r="C63" s="232" t="s">
        <v>125</v>
      </c>
      <c r="D63" s="233"/>
    </row>
    <row r="64" spans="1:4" x14ac:dyDescent="0.2">
      <c r="A64" s="31">
        <v>13</v>
      </c>
      <c r="B64">
        <v>20</v>
      </c>
      <c r="C64" s="232" t="s">
        <v>125</v>
      </c>
      <c r="D64" s="233"/>
    </row>
    <row r="65" spans="1:4" x14ac:dyDescent="0.2">
      <c r="A65" s="31">
        <v>14</v>
      </c>
      <c r="B65">
        <v>12</v>
      </c>
      <c r="C65" s="232" t="s">
        <v>125</v>
      </c>
      <c r="D65" s="233"/>
    </row>
    <row r="66" spans="1:4" x14ac:dyDescent="0.2">
      <c r="A66" s="31">
        <v>15</v>
      </c>
      <c r="B66">
        <v>12</v>
      </c>
      <c r="C66" s="232" t="s">
        <v>125</v>
      </c>
      <c r="D66" s="233"/>
    </row>
    <row r="67" spans="1:4" x14ac:dyDescent="0.2">
      <c r="A67" s="31">
        <v>16</v>
      </c>
      <c r="B67">
        <v>14</v>
      </c>
      <c r="C67" s="232" t="s">
        <v>125</v>
      </c>
      <c r="D67" s="233"/>
    </row>
    <row r="68" spans="1:4" x14ac:dyDescent="0.2">
      <c r="A68" s="31">
        <v>17</v>
      </c>
      <c r="B68">
        <v>33</v>
      </c>
      <c r="C68" s="232" t="s">
        <v>125</v>
      </c>
      <c r="D68" s="233"/>
    </row>
    <row r="69" spans="1:4" x14ac:dyDescent="0.2">
      <c r="A69" s="31">
        <v>18</v>
      </c>
      <c r="B69">
        <v>23</v>
      </c>
      <c r="C69" s="232" t="s">
        <v>125</v>
      </c>
      <c r="D69" s="233"/>
    </row>
    <row r="70" spans="1:4" x14ac:dyDescent="0.2">
      <c r="A70" s="31">
        <v>19</v>
      </c>
      <c r="B70">
        <v>73</v>
      </c>
      <c r="C70" s="232" t="s">
        <v>125</v>
      </c>
      <c r="D70" s="233"/>
    </row>
    <row r="71" spans="1:4" x14ac:dyDescent="0.2">
      <c r="A71" s="31">
        <v>20</v>
      </c>
      <c r="B71">
        <v>71</v>
      </c>
      <c r="C71" s="232" t="s">
        <v>125</v>
      </c>
      <c r="D71" s="233"/>
    </row>
    <row r="72" spans="1:4" x14ac:dyDescent="0.2">
      <c r="A72" s="31">
        <v>21</v>
      </c>
      <c r="B72">
        <v>71</v>
      </c>
      <c r="C72" s="232" t="s">
        <v>125</v>
      </c>
      <c r="D72" s="233"/>
    </row>
  </sheetData>
  <mergeCells count="71">
    <mergeCell ref="C68:D68"/>
    <mergeCell ref="C69:D69"/>
    <mergeCell ref="C70:D70"/>
    <mergeCell ref="C71:D71"/>
    <mergeCell ref="C72:D72"/>
    <mergeCell ref="C62:D62"/>
    <mergeCell ref="C63:D63"/>
    <mergeCell ref="C64:D64"/>
    <mergeCell ref="C65:D65"/>
    <mergeCell ref="C66:D66"/>
    <mergeCell ref="C67:D67"/>
    <mergeCell ref="C56:D56"/>
    <mergeCell ref="C57:D57"/>
    <mergeCell ref="C58:D58"/>
    <mergeCell ref="C59:D59"/>
    <mergeCell ref="C60:D60"/>
    <mergeCell ref="C61:D61"/>
    <mergeCell ref="C50:D50"/>
    <mergeCell ref="C51:D51"/>
    <mergeCell ref="C52:D52"/>
    <mergeCell ref="C53:D53"/>
    <mergeCell ref="C54:D54"/>
    <mergeCell ref="C55:D55"/>
    <mergeCell ref="C44:D44"/>
    <mergeCell ref="C45:D45"/>
    <mergeCell ref="C46:D46"/>
    <mergeCell ref="C47:D47"/>
    <mergeCell ref="C48:D48"/>
    <mergeCell ref="C49:D49"/>
    <mergeCell ref="C38:D38"/>
    <mergeCell ref="C39:D39"/>
    <mergeCell ref="C40:D40"/>
    <mergeCell ref="C41:D41"/>
    <mergeCell ref="C42:D42"/>
    <mergeCell ref="C43:D43"/>
    <mergeCell ref="C32:D32"/>
    <mergeCell ref="C33:D33"/>
    <mergeCell ref="C34:D34"/>
    <mergeCell ref="C35:D35"/>
    <mergeCell ref="C36:D36"/>
    <mergeCell ref="C37:D37"/>
    <mergeCell ref="C26:D26"/>
    <mergeCell ref="C27:D27"/>
    <mergeCell ref="C28:D28"/>
    <mergeCell ref="C29:D29"/>
    <mergeCell ref="C30:D30"/>
    <mergeCell ref="C31:D31"/>
    <mergeCell ref="C20:D20"/>
    <mergeCell ref="C21:D21"/>
    <mergeCell ref="C22:D22"/>
    <mergeCell ref="C23:D23"/>
    <mergeCell ref="C24:D24"/>
    <mergeCell ref="C25:D25"/>
    <mergeCell ref="C14:D14"/>
    <mergeCell ref="C15:D15"/>
    <mergeCell ref="C16:D16"/>
    <mergeCell ref="C17:D17"/>
    <mergeCell ref="C18:D18"/>
    <mergeCell ref="C19:D19"/>
    <mergeCell ref="C8:D8"/>
    <mergeCell ref="C9:D9"/>
    <mergeCell ref="C10:D10"/>
    <mergeCell ref="C11:D11"/>
    <mergeCell ref="C12:D12"/>
    <mergeCell ref="C13:D13"/>
    <mergeCell ref="C2:D2"/>
    <mergeCell ref="C3:D3"/>
    <mergeCell ref="C4:D4"/>
    <mergeCell ref="C5:D5"/>
    <mergeCell ref="C6:D6"/>
    <mergeCell ref="C7:D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107"/>
  <sheetViews>
    <sheetView workbookViewId="0">
      <pane ySplit="9" topLeftCell="A12" activePane="bottomLeft" state="frozen"/>
      <selection pane="bottomLeft" activeCell="B19" sqref="B19"/>
    </sheetView>
  </sheetViews>
  <sheetFormatPr baseColWidth="10" defaultColWidth="13.83203125" defaultRowHeight="15" customHeight="1" x14ac:dyDescent="0.15"/>
  <cols>
    <col min="1" max="1" width="13.83203125" style="50" customWidth="1"/>
    <col min="2" max="2" width="40.5" style="50" customWidth="1"/>
    <col min="3" max="3" width="10.5" style="50" customWidth="1"/>
    <col min="4" max="4" width="29.33203125" style="50" customWidth="1"/>
    <col min="5" max="5" width="9.33203125" style="50" customWidth="1"/>
    <col min="6" max="6" width="32.83203125" style="50" customWidth="1"/>
    <col min="7" max="7" width="11.83203125" style="50" customWidth="1"/>
    <col min="8" max="8" width="2.5" style="50" customWidth="1"/>
    <col min="9" max="9" width="9.5" style="50" customWidth="1"/>
    <col min="10" max="10" width="4.5" style="50" customWidth="1"/>
    <col min="11" max="11" width="6.5" style="50" customWidth="1"/>
    <col min="12" max="12" width="7.6640625" style="50" customWidth="1"/>
    <col min="13" max="13" width="7.33203125" style="50" customWidth="1"/>
    <col min="14" max="14" width="12.1640625" style="50" customWidth="1"/>
    <col min="15" max="15" width="25.83203125" style="50" customWidth="1"/>
    <col min="16" max="16" width="9.1640625" style="50" customWidth="1"/>
    <col min="17" max="17" width="32.33203125" style="50" customWidth="1"/>
    <col min="18" max="18" width="8.1640625" style="50" customWidth="1"/>
    <col min="19" max="19" width="36.1640625" style="50" customWidth="1"/>
    <col min="20" max="20" width="9.5" style="50" customWidth="1"/>
    <col min="21" max="21" width="1.5" style="50" customWidth="1"/>
    <col min="22" max="22" width="11.1640625" style="50" customWidth="1"/>
    <col min="23" max="23" width="4.33203125" style="50" customWidth="1"/>
    <col min="24" max="35" width="10.33203125" style="50" customWidth="1"/>
    <col min="36" max="16384" width="13.83203125" style="50"/>
  </cols>
  <sheetData>
    <row r="1" spans="1:21" ht="15" customHeight="1" x14ac:dyDescent="0.15">
      <c r="A1" s="195" t="s">
        <v>129</v>
      </c>
    </row>
    <row r="2" spans="1:21" customFormat="1" x14ac:dyDescent="0.2">
      <c r="A2" s="183" t="s">
        <v>130</v>
      </c>
      <c r="E2" s="183" t="s">
        <v>123</v>
      </c>
    </row>
    <row r="3" spans="1:21" ht="15" customHeight="1" x14ac:dyDescent="0.2">
      <c r="B3" s="51"/>
      <c r="F3" s="82"/>
      <c r="H3" s="51"/>
      <c r="U3" s="160"/>
    </row>
    <row r="4" spans="1:21" ht="15" customHeight="1" x14ac:dyDescent="0.2">
      <c r="A4" s="196" t="s">
        <v>131</v>
      </c>
      <c r="F4" s="59"/>
      <c r="U4" s="161"/>
    </row>
    <row r="5" spans="1:21" ht="15" customHeight="1" x14ac:dyDescent="0.2">
      <c r="A5" s="196" t="s">
        <v>133</v>
      </c>
      <c r="F5" s="82"/>
      <c r="U5" s="160"/>
    </row>
    <row r="6" spans="1:21" ht="15" customHeight="1" x14ac:dyDescent="0.2">
      <c r="A6" s="196" t="s">
        <v>132</v>
      </c>
      <c r="F6" s="82"/>
      <c r="U6" s="160"/>
    </row>
    <row r="7" spans="1:21" s="47" customFormat="1" ht="15" customHeight="1" x14ac:dyDescent="0.2">
      <c r="F7" s="197"/>
      <c r="U7" s="198"/>
    </row>
    <row r="8" spans="1:21" s="49" customFormat="1" ht="14.25" customHeight="1" x14ac:dyDescent="0.2">
      <c r="A8" s="48" t="s">
        <v>109</v>
      </c>
      <c r="F8" s="52"/>
      <c r="U8" s="53"/>
    </row>
    <row r="9" spans="1:21" ht="14.25" customHeight="1" x14ac:dyDescent="0.2">
      <c r="A9" s="166" t="s">
        <v>35</v>
      </c>
      <c r="B9" s="166" t="s">
        <v>36</v>
      </c>
      <c r="C9" s="166" t="s">
        <v>37</v>
      </c>
      <c r="D9" s="169" t="s">
        <v>53</v>
      </c>
      <c r="E9" s="169" t="s">
        <v>54</v>
      </c>
      <c r="F9" s="169" t="s">
        <v>106</v>
      </c>
      <c r="G9" s="169" t="s">
        <v>107</v>
      </c>
      <c r="H9" s="170"/>
      <c r="I9" s="166" t="s">
        <v>38</v>
      </c>
      <c r="J9" s="166"/>
      <c r="K9" s="216" t="s">
        <v>55</v>
      </c>
      <c r="L9" s="216"/>
      <c r="M9" s="216"/>
    </row>
    <row r="10" spans="1:21" ht="14.25" customHeight="1" x14ac:dyDescent="0.2">
      <c r="A10" s="171" t="s">
        <v>39</v>
      </c>
      <c r="B10" s="171">
        <v>19</v>
      </c>
      <c r="C10" s="171">
        <f>B10/25</f>
        <v>0.76</v>
      </c>
      <c r="D10" s="173">
        <v>77.32474999999998</v>
      </c>
      <c r="E10" s="173">
        <f>D10/25</f>
        <v>3.092989999999999</v>
      </c>
      <c r="F10" s="173">
        <v>98.435840999999996</v>
      </c>
      <c r="G10" s="173">
        <f>F10/25</f>
        <v>3.9374336400000001</v>
      </c>
      <c r="H10" s="167"/>
      <c r="I10" s="166"/>
      <c r="J10" s="166"/>
      <c r="K10" s="216" t="s">
        <v>37</v>
      </c>
      <c r="L10" s="217"/>
    </row>
    <row r="11" spans="1:21" ht="14.25" customHeight="1" x14ac:dyDescent="0.2">
      <c r="A11" s="171" t="s">
        <v>40</v>
      </c>
      <c r="B11" s="50">
        <v>30</v>
      </c>
      <c r="C11" s="171">
        <f>B11/25</f>
        <v>1.2</v>
      </c>
      <c r="D11" s="173">
        <v>105.86534999999996</v>
      </c>
      <c r="E11" s="173">
        <f t="shared" ref="E11:G25" si="0">D11/25</f>
        <v>4.2346139999999988</v>
      </c>
      <c r="F11" s="173">
        <v>138.61450259999998</v>
      </c>
      <c r="G11" s="173">
        <f t="shared" si="0"/>
        <v>5.5445801039999996</v>
      </c>
      <c r="H11" s="167"/>
      <c r="J11" s="169" t="s">
        <v>41</v>
      </c>
      <c r="K11" s="169" t="s">
        <v>0</v>
      </c>
      <c r="L11" s="169" t="s">
        <v>1</v>
      </c>
      <c r="M11" s="169" t="s">
        <v>42</v>
      </c>
    </row>
    <row r="12" spans="1:21" ht="14.25" customHeight="1" x14ac:dyDescent="0.2">
      <c r="A12" s="171" t="s">
        <v>43</v>
      </c>
      <c r="B12" s="50">
        <v>15</v>
      </c>
      <c r="C12" s="171">
        <f t="shared" ref="C12:C25" si="1">B12/25</f>
        <v>0.6</v>
      </c>
      <c r="D12" s="173">
        <v>47.223399999999984</v>
      </c>
      <c r="E12" s="173">
        <f t="shared" si="0"/>
        <v>1.8889359999999993</v>
      </c>
      <c r="F12" s="173">
        <v>63.392442399999993</v>
      </c>
      <c r="G12" s="173">
        <f t="shared" si="0"/>
        <v>2.5356976959999997</v>
      </c>
      <c r="H12" s="167"/>
      <c r="I12" s="166"/>
      <c r="J12" s="171">
        <v>16</v>
      </c>
      <c r="K12" s="173">
        <f>$C$27</f>
        <v>0.67749999999999999</v>
      </c>
      <c r="L12" s="173">
        <f>C28</f>
        <v>0.42040456705416501</v>
      </c>
      <c r="M12" s="173">
        <f>L12/SQRT(J12)</f>
        <v>0.10510114176354125</v>
      </c>
    </row>
    <row r="13" spans="1:21" ht="14.25" customHeight="1" x14ac:dyDescent="0.2">
      <c r="A13" s="171" t="s">
        <v>44</v>
      </c>
      <c r="B13" s="207">
        <v>19</v>
      </c>
      <c r="C13" s="171">
        <f t="shared" si="1"/>
        <v>0.76</v>
      </c>
      <c r="D13" s="173">
        <v>90.819400000000002</v>
      </c>
      <c r="E13" s="173">
        <f t="shared" si="0"/>
        <v>3.6327760000000002</v>
      </c>
      <c r="F13" s="173">
        <v>112.41629839999997</v>
      </c>
      <c r="G13" s="173">
        <f t="shared" si="0"/>
        <v>4.4966519359999992</v>
      </c>
      <c r="H13" s="167"/>
      <c r="I13" s="166"/>
    </row>
    <row r="14" spans="1:21" ht="14.25" customHeight="1" x14ac:dyDescent="0.2">
      <c r="A14" s="171" t="s">
        <v>45</v>
      </c>
      <c r="B14" s="50">
        <v>9</v>
      </c>
      <c r="C14" s="171">
        <f t="shared" si="1"/>
        <v>0.36</v>
      </c>
      <c r="D14" s="173">
        <v>50.340699999999991</v>
      </c>
      <c r="E14" s="173">
        <f t="shared" si="0"/>
        <v>2.0136279999999998</v>
      </c>
      <c r="F14" s="173">
        <v>60.834365199999979</v>
      </c>
      <c r="G14" s="173">
        <f t="shared" si="0"/>
        <v>2.4333746079999994</v>
      </c>
      <c r="H14" s="167"/>
      <c r="J14" s="166"/>
      <c r="K14" s="216" t="s">
        <v>56</v>
      </c>
      <c r="L14" s="216"/>
      <c r="M14" s="216"/>
    </row>
    <row r="15" spans="1:21" ht="14.25" customHeight="1" x14ac:dyDescent="0.2">
      <c r="A15" s="171" t="s">
        <v>46</v>
      </c>
      <c r="B15" s="50">
        <v>11</v>
      </c>
      <c r="C15" s="171">
        <f t="shared" si="1"/>
        <v>0.44</v>
      </c>
      <c r="D15" s="173">
        <v>49.301599999999986</v>
      </c>
      <c r="E15" s="173">
        <f t="shared" si="0"/>
        <v>1.9720639999999994</v>
      </c>
      <c r="F15" s="173">
        <v>61.687057599999989</v>
      </c>
      <c r="G15" s="173">
        <f t="shared" si="0"/>
        <v>2.4674823039999993</v>
      </c>
      <c r="H15" s="167"/>
      <c r="I15" s="166"/>
      <c r="J15" s="166"/>
      <c r="K15" s="216" t="s">
        <v>57</v>
      </c>
      <c r="L15" s="217"/>
    </row>
    <row r="16" spans="1:21" ht="14.25" customHeight="1" x14ac:dyDescent="0.2">
      <c r="A16" s="171" t="s">
        <v>47</v>
      </c>
      <c r="B16" s="50">
        <v>45</v>
      </c>
      <c r="C16" s="171">
        <f t="shared" si="1"/>
        <v>1.8</v>
      </c>
      <c r="D16" s="173">
        <v>270.38840000000005</v>
      </c>
      <c r="E16" s="173">
        <f t="shared" si="0"/>
        <v>10.815536000000002</v>
      </c>
      <c r="F16" s="173">
        <v>323.52938240000003</v>
      </c>
      <c r="G16" s="173">
        <f t="shared" si="0"/>
        <v>12.941175296000001</v>
      </c>
      <c r="H16" s="167"/>
      <c r="I16" s="166"/>
      <c r="J16" s="169" t="s">
        <v>41</v>
      </c>
      <c r="K16" s="169" t="s">
        <v>0</v>
      </c>
      <c r="L16" s="169" t="s">
        <v>1</v>
      </c>
      <c r="M16" s="169" t="s">
        <v>42</v>
      </c>
    </row>
    <row r="17" spans="1:13" ht="14.25" customHeight="1" x14ac:dyDescent="0.2">
      <c r="A17" s="171" t="s">
        <v>48</v>
      </c>
      <c r="B17" s="50">
        <v>31</v>
      </c>
      <c r="C17" s="171">
        <f t="shared" si="1"/>
        <v>1.24</v>
      </c>
      <c r="D17" s="173">
        <v>190.4659</v>
      </c>
      <c r="E17" s="173">
        <f t="shared" si="0"/>
        <v>7.6186360000000004</v>
      </c>
      <c r="F17" s="173">
        <v>227.22527239999994</v>
      </c>
      <c r="G17" s="173">
        <f t="shared" si="0"/>
        <v>9.0890108959999978</v>
      </c>
      <c r="H17" s="167"/>
      <c r="I17" s="166"/>
      <c r="J17" s="171">
        <v>16</v>
      </c>
      <c r="K17" s="173">
        <f>$E$27</f>
        <v>3.7093754999999993</v>
      </c>
      <c r="L17" s="173">
        <f>$E$28</f>
        <v>2.5113320931216303</v>
      </c>
      <c r="M17" s="173">
        <f>L17/SQRT(J17)</f>
        <v>0.62783302328040758</v>
      </c>
    </row>
    <row r="18" spans="1:13" ht="14.25" customHeight="1" x14ac:dyDescent="0.2">
      <c r="A18" s="171" t="s">
        <v>49</v>
      </c>
      <c r="B18" s="50">
        <v>12</v>
      </c>
      <c r="C18" s="171">
        <f t="shared" si="1"/>
        <v>0.48</v>
      </c>
      <c r="D18" s="173">
        <v>62.276699999999984</v>
      </c>
      <c r="E18" s="173">
        <f t="shared" si="0"/>
        <v>2.4910679999999994</v>
      </c>
      <c r="F18" s="173">
        <v>76.093861199999992</v>
      </c>
      <c r="G18" s="173">
        <f t="shared" si="0"/>
        <v>3.0437544479999996</v>
      </c>
      <c r="H18" s="167"/>
      <c r="I18" s="166"/>
    </row>
    <row r="19" spans="1:13" ht="14.25" customHeight="1" x14ac:dyDescent="0.2">
      <c r="A19" s="171" t="s">
        <v>50</v>
      </c>
      <c r="B19" s="50">
        <v>4</v>
      </c>
      <c r="C19" s="171">
        <f t="shared" si="1"/>
        <v>0.16</v>
      </c>
      <c r="D19" s="173">
        <v>20.758899999999997</v>
      </c>
      <c r="E19" s="173">
        <f t="shared" si="0"/>
        <v>0.83035599999999987</v>
      </c>
      <c r="F19" s="173">
        <v>25.364620399999993</v>
      </c>
      <c r="G19" s="173">
        <f t="shared" si="0"/>
        <v>1.0145848159999997</v>
      </c>
      <c r="H19" s="167"/>
      <c r="J19" s="166"/>
      <c r="K19" s="216" t="s">
        <v>108</v>
      </c>
      <c r="L19" s="216"/>
    </row>
    <row r="20" spans="1:13" ht="14.25" customHeight="1" x14ac:dyDescent="0.2">
      <c r="A20" s="171" t="s">
        <v>51</v>
      </c>
      <c r="B20" s="50">
        <v>9</v>
      </c>
      <c r="C20" s="171">
        <f t="shared" si="1"/>
        <v>0.36</v>
      </c>
      <c r="D20" s="173">
        <v>46.188499999999991</v>
      </c>
      <c r="E20" s="173">
        <f t="shared" si="0"/>
        <v>1.8475399999999995</v>
      </c>
      <c r="F20" s="173">
        <v>56.532685999999998</v>
      </c>
      <c r="G20" s="173">
        <f t="shared" si="0"/>
        <v>2.2613074399999999</v>
      </c>
      <c r="H20" s="167"/>
      <c r="I20" s="166"/>
      <c r="J20" s="169" t="s">
        <v>41</v>
      </c>
      <c r="K20" s="169" t="s">
        <v>0</v>
      </c>
      <c r="L20" s="169" t="s">
        <v>1</v>
      </c>
      <c r="M20" s="169" t="s">
        <v>42</v>
      </c>
    </row>
    <row r="21" spans="1:13" ht="14.25" customHeight="1" x14ac:dyDescent="0.2">
      <c r="A21" s="171" t="s">
        <v>52</v>
      </c>
      <c r="B21" s="50">
        <v>11</v>
      </c>
      <c r="C21" s="171">
        <f t="shared" si="1"/>
        <v>0.44</v>
      </c>
      <c r="D21" s="173">
        <v>70.062599999999975</v>
      </c>
      <c r="E21" s="173">
        <f t="shared" si="0"/>
        <v>2.802503999999999</v>
      </c>
      <c r="F21" s="173">
        <v>83.195453599999979</v>
      </c>
      <c r="G21" s="173">
        <f t="shared" si="0"/>
        <v>3.3278181439999992</v>
      </c>
      <c r="H21" s="167"/>
      <c r="I21" s="166"/>
      <c r="J21" s="171">
        <v>16</v>
      </c>
      <c r="K21" s="173">
        <f>$G$27</f>
        <v>4.4964295179999993</v>
      </c>
      <c r="L21" s="173">
        <f>$G$28</f>
        <v>2.9778454848362927</v>
      </c>
      <c r="M21" s="173">
        <f>L21/SQRT(J21)</f>
        <v>0.74446137120907319</v>
      </c>
    </row>
    <row r="22" spans="1:13" ht="14.25" customHeight="1" x14ac:dyDescent="0.2">
      <c r="A22" s="171" t="s">
        <v>100</v>
      </c>
      <c r="B22" s="50">
        <v>20</v>
      </c>
      <c r="C22" s="171">
        <f t="shared" si="1"/>
        <v>0.8</v>
      </c>
      <c r="D22" s="173">
        <v>128.70769999999996</v>
      </c>
      <c r="E22" s="173">
        <f t="shared" si="0"/>
        <v>5.1483079999999983</v>
      </c>
      <c r="F22" s="173">
        <v>152.63317719999995</v>
      </c>
      <c r="G22" s="173">
        <f t="shared" si="0"/>
        <v>6.1053270879999983</v>
      </c>
      <c r="H22" s="167"/>
    </row>
    <row r="23" spans="1:13" ht="14.25" customHeight="1" x14ac:dyDescent="0.2">
      <c r="A23" s="171" t="s">
        <v>101</v>
      </c>
      <c r="B23" s="50">
        <v>9</v>
      </c>
      <c r="C23" s="171">
        <f t="shared" si="1"/>
        <v>0.36</v>
      </c>
      <c r="D23" s="173">
        <v>62.797299999999993</v>
      </c>
      <c r="E23" s="173">
        <f t="shared" si="0"/>
        <v>2.5118919999999996</v>
      </c>
      <c r="F23" s="173">
        <v>73.739402799999993</v>
      </c>
      <c r="G23" s="173">
        <f t="shared" si="0"/>
        <v>2.9495761119999999</v>
      </c>
      <c r="H23" s="167"/>
      <c r="I23" s="166"/>
    </row>
    <row r="24" spans="1:13" ht="14.25" customHeight="1" x14ac:dyDescent="0.2">
      <c r="A24" s="171" t="s">
        <v>102</v>
      </c>
      <c r="B24" s="50">
        <v>15</v>
      </c>
      <c r="C24" s="171">
        <f t="shared" si="1"/>
        <v>0.6</v>
      </c>
      <c r="D24" s="173">
        <v>121.96299999999997</v>
      </c>
      <c r="E24" s="173">
        <f t="shared" si="0"/>
        <v>4.8785199999999982</v>
      </c>
      <c r="F24" s="173">
        <v>140.82266799999999</v>
      </c>
      <c r="G24" s="173">
        <f t="shared" si="0"/>
        <v>5.6329067199999994</v>
      </c>
      <c r="H24" s="167"/>
    </row>
    <row r="25" spans="1:13" ht="14.25" customHeight="1" x14ac:dyDescent="0.2">
      <c r="A25" s="171" t="s">
        <v>103</v>
      </c>
      <c r="B25" s="50">
        <v>12</v>
      </c>
      <c r="C25" s="171">
        <f t="shared" si="1"/>
        <v>0.48</v>
      </c>
      <c r="D25" s="176">
        <v>89.265999999999977</v>
      </c>
      <c r="E25" s="173">
        <f t="shared" si="0"/>
        <v>3.5706399999999991</v>
      </c>
      <c r="F25" s="176">
        <v>104.05477599999999</v>
      </c>
      <c r="G25" s="173">
        <f t="shared" si="0"/>
        <v>4.1621910399999997</v>
      </c>
      <c r="H25" s="167"/>
    </row>
    <row r="26" spans="1:13" ht="14.25" customHeight="1" x14ac:dyDescent="0.2">
      <c r="A26" s="171"/>
      <c r="G26" s="172"/>
      <c r="H26" s="167"/>
    </row>
    <row r="27" spans="1:13" ht="14.25" customHeight="1" x14ac:dyDescent="0.2">
      <c r="B27" s="174" t="s">
        <v>0</v>
      </c>
      <c r="C27" s="175">
        <f>AVERAGE(C10:C25)</f>
        <v>0.67749999999999999</v>
      </c>
      <c r="D27" s="174" t="s">
        <v>0</v>
      </c>
      <c r="E27" s="173">
        <f>AVERAGE(E10:E25)</f>
        <v>3.7093754999999993</v>
      </c>
      <c r="F27" s="174" t="s">
        <v>0</v>
      </c>
      <c r="G27" s="173">
        <f>AVERAGE(G10:G25)</f>
        <v>4.4964295179999993</v>
      </c>
      <c r="H27" s="167"/>
    </row>
    <row r="28" spans="1:13" ht="14.25" customHeight="1" x14ac:dyDescent="0.2">
      <c r="B28" s="174" t="s">
        <v>1</v>
      </c>
      <c r="C28" s="175">
        <f>STDEV(C10:C25)</f>
        <v>0.42040456705416501</v>
      </c>
      <c r="D28" s="174" t="s">
        <v>1</v>
      </c>
      <c r="E28" s="173">
        <f>STDEV(E10:E25)</f>
        <v>2.5113320931216303</v>
      </c>
      <c r="F28" s="174" t="s">
        <v>1</v>
      </c>
      <c r="G28" s="173">
        <f>STDEV(G10:G25)</f>
        <v>2.9778454848362927</v>
      </c>
      <c r="H28" s="167"/>
      <c r="J28" s="51" t="s">
        <v>55</v>
      </c>
    </row>
    <row r="29" spans="1:13" ht="14.25" customHeight="1" x14ac:dyDescent="0.2">
      <c r="G29" s="172"/>
      <c r="H29" s="167"/>
      <c r="J29" s="50" t="s">
        <v>151</v>
      </c>
    </row>
    <row r="30" spans="1:13" ht="14.25" customHeight="1" x14ac:dyDescent="0.2">
      <c r="G30" s="172"/>
      <c r="H30" s="167"/>
      <c r="J30" s="50" t="s">
        <v>41</v>
      </c>
      <c r="K30" s="50" t="s">
        <v>0</v>
      </c>
      <c r="L30" s="50" t="s">
        <v>1</v>
      </c>
      <c r="M30" s="50" t="s">
        <v>42</v>
      </c>
    </row>
    <row r="31" spans="1:13" ht="14.25" customHeight="1" x14ac:dyDescent="0.2">
      <c r="G31" s="172"/>
      <c r="H31" s="167"/>
      <c r="J31" s="206">
        <v>16</v>
      </c>
      <c r="K31" s="50">
        <f>SUM(C10:C25)/16</f>
        <v>0.67749999999999999</v>
      </c>
      <c r="L31" s="50">
        <f>STDEV(C10:C25)</f>
        <v>0.42040456705416501</v>
      </c>
      <c r="M31" s="50">
        <f>L31/SQRT(16)</f>
        <v>0.10510114176354125</v>
      </c>
    </row>
    <row r="32" spans="1:13" ht="14.25" customHeight="1" x14ac:dyDescent="0.2">
      <c r="G32" s="172"/>
      <c r="H32" s="167"/>
    </row>
    <row r="33" spans="7:8" ht="14.25" customHeight="1" x14ac:dyDescent="0.2">
      <c r="G33" s="172"/>
      <c r="H33" s="167"/>
    </row>
    <row r="34" spans="7:8" ht="14.25" customHeight="1" x14ac:dyDescent="0.2">
      <c r="G34" s="172"/>
      <c r="H34" s="167"/>
    </row>
    <row r="35" spans="7:8" ht="14.25" customHeight="1" x14ac:dyDescent="0.2">
      <c r="G35" s="172"/>
      <c r="H35" s="167"/>
    </row>
    <row r="36" spans="7:8" ht="14.25" customHeight="1" x14ac:dyDescent="0.2">
      <c r="G36" s="172"/>
      <c r="H36" s="167"/>
    </row>
    <row r="37" spans="7:8" ht="14.25" customHeight="1" x14ac:dyDescent="0.2">
      <c r="G37" s="172"/>
      <c r="H37" s="167"/>
    </row>
    <row r="38" spans="7:8" ht="14.25" customHeight="1" x14ac:dyDescent="0.2">
      <c r="G38" s="172"/>
      <c r="H38" s="167"/>
    </row>
    <row r="39" spans="7:8" ht="14.25" customHeight="1" x14ac:dyDescent="0.2">
      <c r="G39" s="172"/>
      <c r="H39" s="167"/>
    </row>
    <row r="40" spans="7:8" ht="14.25" customHeight="1" x14ac:dyDescent="0.2">
      <c r="G40" s="172"/>
      <c r="H40" s="167"/>
    </row>
    <row r="41" spans="7:8" ht="14.25" customHeight="1" x14ac:dyDescent="0.2">
      <c r="G41" s="172"/>
      <c r="H41" s="167"/>
    </row>
    <row r="42" spans="7:8" ht="14.25" customHeight="1" x14ac:dyDescent="0.2">
      <c r="G42" s="172"/>
      <c r="H42" s="167"/>
    </row>
    <row r="43" spans="7:8" ht="14.25" customHeight="1" x14ac:dyDescent="0.2">
      <c r="G43" s="172"/>
      <c r="H43" s="167"/>
    </row>
    <row r="44" spans="7:8" ht="14.25" customHeight="1" x14ac:dyDescent="0.2">
      <c r="G44" s="172"/>
      <c r="H44" s="167"/>
    </row>
    <row r="45" spans="7:8" ht="14.25" customHeight="1" x14ac:dyDescent="0.2">
      <c r="G45" s="172"/>
      <c r="H45" s="167"/>
    </row>
    <row r="46" spans="7:8" ht="14.25" customHeight="1" x14ac:dyDescent="0.2">
      <c r="G46" s="172"/>
      <c r="H46" s="167"/>
    </row>
    <row r="47" spans="7:8" ht="14.25" customHeight="1" x14ac:dyDescent="0.2">
      <c r="G47" s="172"/>
      <c r="H47" s="167"/>
    </row>
    <row r="48" spans="7:8" ht="14.25" customHeight="1" x14ac:dyDescent="0.2">
      <c r="G48" s="172"/>
      <c r="H48" s="167"/>
    </row>
    <row r="49" spans="7:8" ht="14.25" customHeight="1" x14ac:dyDescent="0.2">
      <c r="G49" s="172"/>
      <c r="H49" s="167"/>
    </row>
    <row r="50" spans="7:8" ht="14.25" customHeight="1" x14ac:dyDescent="0.2">
      <c r="G50" s="172"/>
      <c r="H50" s="167"/>
    </row>
    <row r="51" spans="7:8" ht="14.25" customHeight="1" x14ac:dyDescent="0.2">
      <c r="G51" s="172"/>
      <c r="H51" s="167"/>
    </row>
    <row r="52" spans="7:8" ht="14.25" customHeight="1" x14ac:dyDescent="0.2">
      <c r="G52" s="172"/>
      <c r="H52" s="167"/>
    </row>
    <row r="53" spans="7:8" ht="14.25" customHeight="1" x14ac:dyDescent="0.2">
      <c r="G53" s="172"/>
      <c r="H53" s="167"/>
    </row>
    <row r="54" spans="7:8" ht="14.25" customHeight="1" x14ac:dyDescent="0.2">
      <c r="G54" s="172"/>
      <c r="H54" s="167"/>
    </row>
    <row r="55" spans="7:8" ht="14.25" customHeight="1" x14ac:dyDescent="0.2">
      <c r="G55" s="172"/>
      <c r="H55" s="167"/>
    </row>
    <row r="56" spans="7:8" ht="14.25" customHeight="1" x14ac:dyDescent="0.2">
      <c r="G56" s="172"/>
      <c r="H56" s="167"/>
    </row>
    <row r="57" spans="7:8" ht="14.25" customHeight="1" x14ac:dyDescent="0.2">
      <c r="G57" s="172"/>
      <c r="H57" s="167"/>
    </row>
    <row r="58" spans="7:8" ht="14.25" customHeight="1" x14ac:dyDescent="0.2">
      <c r="G58" s="172"/>
      <c r="H58" s="167"/>
    </row>
    <row r="59" spans="7:8" ht="14.25" customHeight="1" x14ac:dyDescent="0.2">
      <c r="G59" s="172"/>
      <c r="H59" s="167"/>
    </row>
    <row r="60" spans="7:8" ht="14.25" customHeight="1" x14ac:dyDescent="0.2">
      <c r="G60" s="172"/>
      <c r="H60" s="167"/>
    </row>
    <row r="61" spans="7:8" ht="14.25" customHeight="1" x14ac:dyDescent="0.2">
      <c r="G61" s="172"/>
      <c r="H61" s="167"/>
    </row>
    <row r="62" spans="7:8" ht="14.25" customHeight="1" x14ac:dyDescent="0.2">
      <c r="G62" s="172"/>
      <c r="H62" s="167"/>
    </row>
    <row r="63" spans="7:8" ht="14.25" customHeight="1" x14ac:dyDescent="0.2">
      <c r="G63" s="172"/>
      <c r="H63" s="167"/>
    </row>
    <row r="64" spans="7:8" ht="14.25" customHeight="1" x14ac:dyDescent="0.2">
      <c r="G64" s="172"/>
      <c r="H64" s="167"/>
    </row>
    <row r="65" spans="7:8" ht="14.25" customHeight="1" x14ac:dyDescent="0.2">
      <c r="G65" s="172"/>
      <c r="H65" s="167"/>
    </row>
    <row r="66" spans="7:8" ht="14.25" customHeight="1" x14ac:dyDescent="0.2">
      <c r="G66" s="172"/>
      <c r="H66" s="167"/>
    </row>
    <row r="67" spans="7:8" ht="14.25" customHeight="1" x14ac:dyDescent="0.2">
      <c r="G67" s="172"/>
      <c r="H67" s="167"/>
    </row>
    <row r="68" spans="7:8" ht="14.25" customHeight="1" x14ac:dyDescent="0.2">
      <c r="G68" s="172"/>
      <c r="H68" s="167"/>
    </row>
    <row r="69" spans="7:8" ht="14.25" customHeight="1" x14ac:dyDescent="0.2">
      <c r="G69" s="172"/>
      <c r="H69" s="167"/>
    </row>
    <row r="70" spans="7:8" ht="14.25" customHeight="1" x14ac:dyDescent="0.2">
      <c r="G70" s="172"/>
      <c r="H70" s="167"/>
    </row>
    <row r="71" spans="7:8" ht="14.25" customHeight="1" x14ac:dyDescent="0.2">
      <c r="G71" s="172"/>
      <c r="H71" s="167"/>
    </row>
    <row r="72" spans="7:8" ht="14.25" customHeight="1" x14ac:dyDescent="0.2">
      <c r="G72" s="172"/>
      <c r="H72" s="167"/>
    </row>
    <row r="73" spans="7:8" ht="14.25" customHeight="1" x14ac:dyDescent="0.2">
      <c r="G73" s="172"/>
      <c r="H73" s="167"/>
    </row>
    <row r="74" spans="7:8" ht="14.25" customHeight="1" x14ac:dyDescent="0.2">
      <c r="G74" s="172"/>
      <c r="H74" s="167"/>
    </row>
    <row r="75" spans="7:8" ht="14.25" customHeight="1" x14ac:dyDescent="0.2">
      <c r="G75" s="172"/>
      <c r="H75" s="167"/>
    </row>
    <row r="76" spans="7:8" ht="14.25" customHeight="1" x14ac:dyDescent="0.2">
      <c r="G76" s="172"/>
      <c r="H76" s="167"/>
    </row>
    <row r="77" spans="7:8" ht="14.25" customHeight="1" x14ac:dyDescent="0.2">
      <c r="G77" s="172"/>
      <c r="H77" s="167"/>
    </row>
    <row r="78" spans="7:8" ht="14.25" customHeight="1" x14ac:dyDescent="0.2">
      <c r="G78" s="172"/>
      <c r="H78" s="167"/>
    </row>
    <row r="79" spans="7:8" ht="14.25" customHeight="1" x14ac:dyDescent="0.2">
      <c r="G79" s="172"/>
      <c r="H79" s="167"/>
    </row>
    <row r="80" spans="7:8" ht="14.25" customHeight="1" x14ac:dyDescent="0.2">
      <c r="G80" s="172"/>
      <c r="H80" s="167"/>
    </row>
    <row r="81" spans="7:8" ht="14.25" customHeight="1" x14ac:dyDescent="0.2">
      <c r="G81" s="172"/>
      <c r="H81" s="167"/>
    </row>
    <row r="82" spans="7:8" ht="14.25" customHeight="1" x14ac:dyDescent="0.2">
      <c r="G82" s="172"/>
      <c r="H82" s="167"/>
    </row>
    <row r="83" spans="7:8" ht="14.25" customHeight="1" x14ac:dyDescent="0.2">
      <c r="G83" s="172"/>
      <c r="H83" s="167"/>
    </row>
    <row r="84" spans="7:8" ht="14.25" customHeight="1" x14ac:dyDescent="0.2">
      <c r="G84" s="172"/>
      <c r="H84" s="167"/>
    </row>
    <row r="85" spans="7:8" ht="14.25" customHeight="1" x14ac:dyDescent="0.2">
      <c r="G85" s="172"/>
      <c r="H85" s="167"/>
    </row>
    <row r="86" spans="7:8" ht="14.25" customHeight="1" x14ac:dyDescent="0.2">
      <c r="G86" s="172"/>
      <c r="H86" s="167"/>
    </row>
    <row r="87" spans="7:8" ht="14.25" customHeight="1" x14ac:dyDescent="0.2">
      <c r="G87" s="172"/>
      <c r="H87" s="167"/>
    </row>
    <row r="88" spans="7:8" ht="14.25" customHeight="1" x14ac:dyDescent="0.2">
      <c r="G88" s="172"/>
      <c r="H88" s="167"/>
    </row>
    <row r="89" spans="7:8" ht="14.25" customHeight="1" x14ac:dyDescent="0.2">
      <c r="G89" s="172"/>
      <c r="H89" s="167"/>
    </row>
    <row r="90" spans="7:8" ht="14.25" customHeight="1" x14ac:dyDescent="0.2">
      <c r="G90" s="172"/>
      <c r="H90" s="167"/>
    </row>
    <row r="91" spans="7:8" ht="14.25" customHeight="1" x14ac:dyDescent="0.2">
      <c r="G91" s="172"/>
      <c r="H91" s="167"/>
    </row>
    <row r="92" spans="7:8" ht="14.25" customHeight="1" x14ac:dyDescent="0.2">
      <c r="G92" s="172"/>
      <c r="H92" s="167"/>
    </row>
    <row r="93" spans="7:8" ht="14.25" customHeight="1" x14ac:dyDescent="0.2">
      <c r="G93" s="172"/>
      <c r="H93" s="167"/>
    </row>
    <row r="94" spans="7:8" ht="14.25" customHeight="1" x14ac:dyDescent="0.2">
      <c r="G94" s="172"/>
      <c r="H94" s="167"/>
    </row>
    <row r="95" spans="7:8" ht="14.25" customHeight="1" x14ac:dyDescent="0.2">
      <c r="G95" s="172"/>
      <c r="H95" s="167"/>
    </row>
    <row r="96" spans="7:8" ht="14.25" customHeight="1" x14ac:dyDescent="0.2">
      <c r="G96" s="172"/>
      <c r="H96" s="167"/>
    </row>
    <row r="97" spans="7:15" ht="14.25" customHeight="1" x14ac:dyDescent="0.2">
      <c r="G97" s="172"/>
      <c r="H97" s="167"/>
    </row>
    <row r="98" spans="7:15" ht="14.25" customHeight="1" x14ac:dyDescent="0.2">
      <c r="G98" s="172"/>
      <c r="H98" s="167"/>
    </row>
    <row r="99" spans="7:15" ht="14.25" customHeight="1" x14ac:dyDescent="0.2">
      <c r="G99" s="172"/>
      <c r="H99" s="167"/>
    </row>
    <row r="100" spans="7:15" ht="14.25" customHeight="1" x14ac:dyDescent="0.2">
      <c r="G100" s="172"/>
      <c r="H100" s="167"/>
    </row>
    <row r="101" spans="7:15" ht="14.25" customHeight="1" x14ac:dyDescent="0.2">
      <c r="G101" s="172"/>
      <c r="H101" s="167"/>
    </row>
    <row r="102" spans="7:15" ht="14.25" customHeight="1" x14ac:dyDescent="0.2">
      <c r="G102" s="172"/>
      <c r="H102" s="167"/>
    </row>
    <row r="103" spans="7:15" ht="14.25" customHeight="1" x14ac:dyDescent="0.2">
      <c r="G103" s="172"/>
      <c r="H103" s="167"/>
    </row>
    <row r="104" spans="7:15" ht="14.25" customHeight="1" x14ac:dyDescent="0.2">
      <c r="G104" s="172"/>
      <c r="H104" s="167"/>
      <c r="N104" s="172"/>
      <c r="O104" s="168"/>
    </row>
    <row r="105" spans="7:15" ht="14.25" customHeight="1" x14ac:dyDescent="0.2">
      <c r="G105" s="172"/>
      <c r="H105" s="167"/>
      <c r="N105" s="172"/>
      <c r="O105" s="168"/>
    </row>
    <row r="106" spans="7:15" ht="14.25" customHeight="1" x14ac:dyDescent="0.2">
      <c r="G106" s="172"/>
      <c r="H106" s="167"/>
      <c r="N106" s="172"/>
      <c r="O106" s="168"/>
    </row>
    <row r="107" spans="7:15" ht="14.25" customHeight="1" x14ac:dyDescent="0.2">
      <c r="G107" s="172"/>
      <c r="H107" s="167"/>
      <c r="N107" s="172"/>
      <c r="O107" s="168"/>
    </row>
    <row r="108" spans="7:15" ht="14.25" customHeight="1" x14ac:dyDescent="0.2">
      <c r="G108" s="172"/>
      <c r="H108" s="167"/>
      <c r="N108" s="172"/>
      <c r="O108" s="168"/>
    </row>
    <row r="109" spans="7:15" ht="14.25" customHeight="1" x14ac:dyDescent="0.2">
      <c r="G109" s="172"/>
      <c r="H109" s="167"/>
      <c r="N109" s="172"/>
      <c r="O109" s="168"/>
    </row>
    <row r="110" spans="7:15" ht="14.25" customHeight="1" x14ac:dyDescent="0.2">
      <c r="G110" s="172"/>
      <c r="H110" s="167"/>
      <c r="N110" s="172"/>
      <c r="O110" s="168"/>
    </row>
    <row r="111" spans="7:15" ht="14.25" customHeight="1" x14ac:dyDescent="0.2">
      <c r="G111" s="172"/>
      <c r="H111" s="167"/>
      <c r="N111" s="172"/>
      <c r="O111" s="168"/>
    </row>
    <row r="112" spans="7:15" ht="14.25" customHeight="1" x14ac:dyDescent="0.2">
      <c r="G112" s="172"/>
      <c r="H112" s="167"/>
      <c r="N112" s="172"/>
      <c r="O112" s="168"/>
    </row>
    <row r="113" spans="7:15" ht="14.25" customHeight="1" x14ac:dyDescent="0.2">
      <c r="G113" s="172"/>
      <c r="H113" s="167"/>
      <c r="N113" s="172"/>
      <c r="O113" s="168"/>
    </row>
    <row r="114" spans="7:15" ht="14.25" customHeight="1" x14ac:dyDescent="0.2">
      <c r="G114" s="172"/>
      <c r="H114" s="167"/>
      <c r="N114" s="172"/>
      <c r="O114" s="168"/>
    </row>
    <row r="115" spans="7:15" ht="14.25" customHeight="1" x14ac:dyDescent="0.2">
      <c r="G115" s="172"/>
      <c r="H115" s="167"/>
      <c r="N115" s="172"/>
      <c r="O115" s="168"/>
    </row>
    <row r="116" spans="7:15" ht="14.25" customHeight="1" x14ac:dyDescent="0.2">
      <c r="G116" s="172"/>
      <c r="H116" s="167"/>
      <c r="N116" s="172"/>
      <c r="O116" s="168"/>
    </row>
    <row r="117" spans="7:15" ht="14.25" customHeight="1" x14ac:dyDescent="0.2">
      <c r="G117" s="172"/>
      <c r="H117" s="167"/>
      <c r="N117" s="172"/>
      <c r="O117" s="168"/>
    </row>
    <row r="118" spans="7:15" ht="14.25" customHeight="1" x14ac:dyDescent="0.2">
      <c r="G118" s="172"/>
      <c r="H118" s="167"/>
      <c r="N118" s="172"/>
      <c r="O118" s="168"/>
    </row>
    <row r="119" spans="7:15" ht="14.25" customHeight="1" x14ac:dyDescent="0.2">
      <c r="G119" s="172"/>
      <c r="H119" s="167"/>
      <c r="N119" s="172"/>
      <c r="O119" s="168"/>
    </row>
    <row r="120" spans="7:15" ht="14.25" customHeight="1" x14ac:dyDescent="0.2">
      <c r="G120" s="172"/>
      <c r="H120" s="167"/>
      <c r="N120" s="172"/>
      <c r="O120" s="168"/>
    </row>
    <row r="121" spans="7:15" ht="14.25" customHeight="1" x14ac:dyDescent="0.2">
      <c r="G121" s="172"/>
      <c r="H121" s="167"/>
      <c r="N121" s="172"/>
      <c r="O121" s="168"/>
    </row>
    <row r="122" spans="7:15" ht="14.25" customHeight="1" x14ac:dyDescent="0.2">
      <c r="G122" s="172"/>
      <c r="H122" s="167"/>
      <c r="N122" s="172"/>
      <c r="O122" s="168"/>
    </row>
    <row r="123" spans="7:15" ht="14.25" customHeight="1" x14ac:dyDescent="0.2">
      <c r="G123" s="172"/>
      <c r="H123" s="167"/>
      <c r="N123" s="172"/>
      <c r="O123" s="168"/>
    </row>
    <row r="124" spans="7:15" ht="14.25" customHeight="1" x14ac:dyDescent="0.2">
      <c r="G124" s="172"/>
      <c r="H124" s="167"/>
      <c r="N124" s="172"/>
      <c r="O124" s="168"/>
    </row>
    <row r="125" spans="7:15" ht="14.25" customHeight="1" x14ac:dyDescent="0.2">
      <c r="G125" s="172"/>
      <c r="H125" s="167"/>
      <c r="N125" s="172"/>
      <c r="O125" s="168"/>
    </row>
    <row r="126" spans="7:15" ht="14.25" customHeight="1" x14ac:dyDescent="0.2">
      <c r="G126" s="172"/>
      <c r="H126" s="167"/>
      <c r="N126" s="172"/>
      <c r="O126" s="168"/>
    </row>
    <row r="127" spans="7:15" ht="14.25" customHeight="1" x14ac:dyDescent="0.2">
      <c r="G127" s="172"/>
      <c r="H127" s="167"/>
      <c r="N127" s="172"/>
      <c r="O127" s="168"/>
    </row>
    <row r="128" spans="7:15" ht="14.25" customHeight="1" x14ac:dyDescent="0.2">
      <c r="G128" s="172"/>
      <c r="H128" s="167"/>
      <c r="N128" s="172"/>
      <c r="O128" s="168"/>
    </row>
    <row r="129" spans="7:15" ht="14.25" customHeight="1" x14ac:dyDescent="0.2">
      <c r="G129" s="172"/>
      <c r="H129" s="167"/>
      <c r="N129" s="172"/>
      <c r="O129" s="168"/>
    </row>
    <row r="130" spans="7:15" ht="14.25" customHeight="1" x14ac:dyDescent="0.2">
      <c r="G130" s="172"/>
      <c r="H130" s="167"/>
      <c r="N130" s="172"/>
      <c r="O130" s="168"/>
    </row>
    <row r="131" spans="7:15" ht="14.25" customHeight="1" x14ac:dyDescent="0.2">
      <c r="G131" s="172"/>
      <c r="H131" s="167"/>
      <c r="N131" s="172"/>
      <c r="O131" s="168"/>
    </row>
    <row r="132" spans="7:15" ht="14.25" customHeight="1" x14ac:dyDescent="0.2">
      <c r="G132" s="172"/>
      <c r="H132" s="167"/>
      <c r="N132" s="172"/>
      <c r="O132" s="168"/>
    </row>
    <row r="133" spans="7:15" ht="14.25" customHeight="1" x14ac:dyDescent="0.2">
      <c r="G133" s="172"/>
      <c r="H133" s="167"/>
      <c r="N133" s="172"/>
      <c r="O133" s="168"/>
    </row>
    <row r="134" spans="7:15" ht="14.25" customHeight="1" x14ac:dyDescent="0.2">
      <c r="G134" s="172"/>
      <c r="H134" s="167"/>
      <c r="N134" s="172"/>
      <c r="O134" s="168"/>
    </row>
    <row r="135" spans="7:15" ht="14.25" customHeight="1" x14ac:dyDescent="0.2">
      <c r="G135" s="172"/>
      <c r="H135" s="167"/>
      <c r="N135" s="172"/>
      <c r="O135" s="168"/>
    </row>
    <row r="136" spans="7:15" ht="14.25" customHeight="1" x14ac:dyDescent="0.2">
      <c r="G136" s="172"/>
      <c r="H136" s="167"/>
      <c r="N136" s="172"/>
      <c r="O136" s="168"/>
    </row>
    <row r="137" spans="7:15" ht="14.25" customHeight="1" x14ac:dyDescent="0.2">
      <c r="G137" s="172"/>
      <c r="H137" s="167"/>
      <c r="N137" s="172"/>
      <c r="O137" s="168"/>
    </row>
    <row r="138" spans="7:15" ht="14.25" customHeight="1" x14ac:dyDescent="0.2">
      <c r="G138" s="172"/>
      <c r="H138" s="167"/>
      <c r="N138" s="172"/>
      <c r="O138" s="168"/>
    </row>
    <row r="139" spans="7:15" ht="14.25" customHeight="1" x14ac:dyDescent="0.2">
      <c r="G139" s="172"/>
      <c r="H139" s="167"/>
      <c r="N139" s="172"/>
      <c r="O139" s="168"/>
    </row>
    <row r="140" spans="7:15" ht="14.25" customHeight="1" x14ac:dyDescent="0.2">
      <c r="G140" s="172"/>
      <c r="H140" s="167"/>
      <c r="N140" s="172"/>
      <c r="O140" s="168"/>
    </row>
    <row r="141" spans="7:15" ht="14.25" customHeight="1" x14ac:dyDescent="0.2">
      <c r="G141" s="172"/>
      <c r="H141" s="167"/>
      <c r="N141" s="172"/>
      <c r="O141" s="168"/>
    </row>
    <row r="142" spans="7:15" ht="14.25" customHeight="1" x14ac:dyDescent="0.2">
      <c r="G142" s="172"/>
      <c r="H142" s="167"/>
      <c r="N142" s="172"/>
      <c r="O142" s="168"/>
    </row>
    <row r="143" spans="7:15" ht="14.25" customHeight="1" x14ac:dyDescent="0.2">
      <c r="G143" s="172"/>
      <c r="H143" s="167"/>
      <c r="N143" s="172"/>
      <c r="O143" s="168"/>
    </row>
    <row r="144" spans="7:15" ht="14.25" customHeight="1" x14ac:dyDescent="0.2">
      <c r="G144" s="172"/>
      <c r="H144" s="167"/>
      <c r="N144" s="172"/>
      <c r="O144" s="168"/>
    </row>
    <row r="145" spans="7:15" ht="14.25" customHeight="1" x14ac:dyDescent="0.2">
      <c r="G145" s="172"/>
      <c r="H145" s="167"/>
      <c r="N145" s="172"/>
      <c r="O145" s="168"/>
    </row>
    <row r="146" spans="7:15" ht="14.25" customHeight="1" x14ac:dyDescent="0.2">
      <c r="G146" s="172"/>
      <c r="H146" s="167"/>
      <c r="N146" s="172"/>
      <c r="O146" s="168"/>
    </row>
    <row r="147" spans="7:15" ht="14.25" customHeight="1" x14ac:dyDescent="0.2">
      <c r="G147" s="172"/>
      <c r="H147" s="167"/>
      <c r="N147" s="172"/>
      <c r="O147" s="168"/>
    </row>
    <row r="148" spans="7:15" ht="14.25" customHeight="1" x14ac:dyDescent="0.2">
      <c r="G148" s="172"/>
      <c r="H148" s="167"/>
      <c r="N148" s="172"/>
      <c r="O148" s="168"/>
    </row>
    <row r="149" spans="7:15" ht="14.25" customHeight="1" x14ac:dyDescent="0.2">
      <c r="G149" s="172"/>
      <c r="H149" s="167"/>
      <c r="N149" s="172"/>
      <c r="O149" s="168"/>
    </row>
    <row r="150" spans="7:15" ht="14.25" customHeight="1" x14ac:dyDescent="0.2">
      <c r="G150" s="172"/>
      <c r="H150" s="167"/>
      <c r="N150" s="172"/>
      <c r="O150" s="168"/>
    </row>
    <row r="151" spans="7:15" ht="14.25" customHeight="1" x14ac:dyDescent="0.2">
      <c r="G151" s="172"/>
      <c r="H151" s="167"/>
      <c r="N151" s="172"/>
      <c r="O151" s="168"/>
    </row>
    <row r="152" spans="7:15" ht="14.25" customHeight="1" x14ac:dyDescent="0.2">
      <c r="G152" s="172"/>
      <c r="H152" s="167"/>
      <c r="N152" s="172"/>
      <c r="O152" s="168"/>
    </row>
    <row r="153" spans="7:15" ht="14.25" customHeight="1" x14ac:dyDescent="0.2">
      <c r="G153" s="172"/>
      <c r="H153" s="167"/>
      <c r="N153" s="172"/>
      <c r="O153" s="168"/>
    </row>
    <row r="154" spans="7:15" ht="14.25" customHeight="1" x14ac:dyDescent="0.2">
      <c r="G154" s="172"/>
      <c r="H154" s="167"/>
      <c r="N154" s="172"/>
      <c r="O154" s="168"/>
    </row>
    <row r="155" spans="7:15" ht="14.25" customHeight="1" x14ac:dyDescent="0.2">
      <c r="G155" s="172"/>
      <c r="H155" s="167"/>
      <c r="N155" s="172"/>
      <c r="O155" s="168"/>
    </row>
    <row r="156" spans="7:15" ht="14.25" customHeight="1" x14ac:dyDescent="0.2">
      <c r="G156" s="172"/>
      <c r="H156" s="167"/>
      <c r="N156" s="172"/>
      <c r="O156" s="168"/>
    </row>
    <row r="157" spans="7:15" ht="14.25" customHeight="1" x14ac:dyDescent="0.2">
      <c r="G157" s="172"/>
      <c r="H157" s="167"/>
      <c r="N157" s="172"/>
      <c r="O157" s="168"/>
    </row>
    <row r="158" spans="7:15" ht="14.25" customHeight="1" x14ac:dyDescent="0.2">
      <c r="G158" s="172"/>
      <c r="H158" s="167"/>
      <c r="N158" s="172"/>
      <c r="O158" s="168"/>
    </row>
    <row r="159" spans="7:15" ht="14.25" customHeight="1" x14ac:dyDescent="0.2">
      <c r="G159" s="172"/>
      <c r="H159" s="167"/>
      <c r="N159" s="172"/>
      <c r="O159" s="168"/>
    </row>
    <row r="160" spans="7:15" ht="14.25" customHeight="1" x14ac:dyDescent="0.2">
      <c r="G160" s="172"/>
      <c r="H160" s="167"/>
      <c r="N160" s="172"/>
      <c r="O160" s="168"/>
    </row>
    <row r="161" spans="7:15" ht="14.25" customHeight="1" x14ac:dyDescent="0.2">
      <c r="G161" s="172"/>
      <c r="H161" s="167"/>
      <c r="N161" s="172"/>
      <c r="O161" s="168"/>
    </row>
    <row r="162" spans="7:15" ht="14.25" customHeight="1" x14ac:dyDescent="0.2">
      <c r="G162" s="172"/>
      <c r="H162" s="167"/>
      <c r="N162" s="172"/>
      <c r="O162" s="168"/>
    </row>
    <row r="163" spans="7:15" ht="14.25" customHeight="1" x14ac:dyDescent="0.2">
      <c r="G163" s="172"/>
      <c r="H163" s="167"/>
      <c r="N163" s="172"/>
      <c r="O163" s="168"/>
    </row>
    <row r="164" spans="7:15" ht="14.25" customHeight="1" x14ac:dyDescent="0.2">
      <c r="G164" s="172"/>
      <c r="H164" s="167"/>
      <c r="N164" s="172"/>
      <c r="O164" s="168"/>
    </row>
    <row r="165" spans="7:15" ht="14.25" customHeight="1" x14ac:dyDescent="0.2">
      <c r="G165" s="172"/>
      <c r="H165" s="167"/>
      <c r="N165" s="172"/>
      <c r="O165" s="168"/>
    </row>
    <row r="166" spans="7:15" ht="14.25" customHeight="1" x14ac:dyDescent="0.2">
      <c r="G166" s="172"/>
      <c r="H166" s="167"/>
      <c r="N166" s="172"/>
      <c r="O166" s="168"/>
    </row>
    <row r="167" spans="7:15" ht="14.25" customHeight="1" x14ac:dyDescent="0.2">
      <c r="G167" s="172"/>
      <c r="H167" s="167"/>
      <c r="N167" s="172"/>
      <c r="O167" s="168"/>
    </row>
    <row r="168" spans="7:15" ht="14.25" customHeight="1" x14ac:dyDescent="0.2">
      <c r="G168" s="172"/>
      <c r="H168" s="167"/>
      <c r="N168" s="172"/>
      <c r="O168" s="168"/>
    </row>
    <row r="169" spans="7:15" ht="14.25" customHeight="1" x14ac:dyDescent="0.2">
      <c r="G169" s="172"/>
      <c r="H169" s="167"/>
      <c r="N169" s="172"/>
      <c r="O169" s="168"/>
    </row>
    <row r="170" spans="7:15" ht="14.25" customHeight="1" x14ac:dyDescent="0.2">
      <c r="G170" s="172"/>
      <c r="H170" s="167"/>
      <c r="N170" s="172"/>
      <c r="O170" s="168"/>
    </row>
    <row r="171" spans="7:15" ht="14.25" customHeight="1" x14ac:dyDescent="0.2">
      <c r="G171" s="172"/>
      <c r="H171" s="167"/>
      <c r="N171" s="172"/>
      <c r="O171" s="168"/>
    </row>
    <row r="172" spans="7:15" ht="14.25" customHeight="1" x14ac:dyDescent="0.2">
      <c r="G172" s="172"/>
      <c r="H172" s="167"/>
      <c r="N172" s="172"/>
      <c r="O172" s="168"/>
    </row>
    <row r="173" spans="7:15" ht="14.25" customHeight="1" x14ac:dyDescent="0.2">
      <c r="G173" s="172"/>
      <c r="H173" s="167"/>
      <c r="N173" s="172"/>
      <c r="O173" s="168"/>
    </row>
    <row r="174" spans="7:15" ht="14.25" customHeight="1" x14ac:dyDescent="0.2">
      <c r="G174" s="172"/>
      <c r="H174" s="167"/>
      <c r="N174" s="172"/>
      <c r="O174" s="168"/>
    </row>
    <row r="175" spans="7:15" ht="14.25" customHeight="1" x14ac:dyDescent="0.2">
      <c r="G175" s="172"/>
      <c r="H175" s="167"/>
      <c r="N175" s="172"/>
      <c r="O175" s="168"/>
    </row>
    <row r="176" spans="7:15" ht="14.25" customHeight="1" x14ac:dyDescent="0.2">
      <c r="G176" s="172"/>
      <c r="H176" s="167"/>
      <c r="N176" s="172"/>
      <c r="O176" s="168"/>
    </row>
    <row r="177" spans="7:15" ht="14.25" customHeight="1" x14ac:dyDescent="0.2">
      <c r="G177" s="172"/>
      <c r="H177" s="167"/>
      <c r="N177" s="172"/>
      <c r="O177" s="168"/>
    </row>
    <row r="178" spans="7:15" ht="14.25" customHeight="1" x14ac:dyDescent="0.2">
      <c r="G178" s="172"/>
      <c r="H178" s="167"/>
      <c r="N178" s="172"/>
      <c r="O178" s="168"/>
    </row>
    <row r="179" spans="7:15" ht="14.25" customHeight="1" x14ac:dyDescent="0.2">
      <c r="G179" s="172"/>
      <c r="H179" s="167"/>
      <c r="N179" s="172"/>
      <c r="O179" s="168"/>
    </row>
    <row r="180" spans="7:15" ht="14.25" customHeight="1" x14ac:dyDescent="0.2">
      <c r="G180" s="172"/>
      <c r="H180" s="167"/>
      <c r="N180" s="172"/>
      <c r="O180" s="168"/>
    </row>
    <row r="181" spans="7:15" ht="14.25" customHeight="1" x14ac:dyDescent="0.2">
      <c r="G181" s="172"/>
      <c r="H181" s="167"/>
      <c r="N181" s="172"/>
      <c r="O181" s="168"/>
    </row>
    <row r="182" spans="7:15" ht="14.25" customHeight="1" x14ac:dyDescent="0.2">
      <c r="G182" s="172"/>
      <c r="H182" s="167"/>
      <c r="N182" s="172"/>
      <c r="O182" s="168"/>
    </row>
    <row r="183" spans="7:15" ht="14.25" customHeight="1" x14ac:dyDescent="0.2">
      <c r="G183" s="172"/>
      <c r="H183" s="167"/>
      <c r="N183" s="172"/>
      <c r="O183" s="168"/>
    </row>
    <row r="184" spans="7:15" ht="14.25" customHeight="1" x14ac:dyDescent="0.2">
      <c r="G184" s="172"/>
      <c r="H184" s="167"/>
      <c r="N184" s="172"/>
      <c r="O184" s="168"/>
    </row>
    <row r="185" spans="7:15" ht="14.25" customHeight="1" x14ac:dyDescent="0.2">
      <c r="G185" s="172"/>
      <c r="H185" s="167"/>
      <c r="N185" s="172"/>
      <c r="O185" s="168"/>
    </row>
    <row r="186" spans="7:15" ht="14.25" customHeight="1" x14ac:dyDescent="0.2">
      <c r="G186" s="172"/>
      <c r="H186" s="167"/>
      <c r="N186" s="172"/>
      <c r="O186" s="168"/>
    </row>
    <row r="187" spans="7:15" ht="14.25" customHeight="1" x14ac:dyDescent="0.2">
      <c r="G187" s="172"/>
      <c r="H187" s="167"/>
      <c r="N187" s="172"/>
      <c r="O187" s="168"/>
    </row>
    <row r="188" spans="7:15" ht="14.25" customHeight="1" x14ac:dyDescent="0.2">
      <c r="G188" s="172"/>
      <c r="H188" s="167"/>
      <c r="N188" s="172"/>
      <c r="O188" s="168"/>
    </row>
    <row r="189" spans="7:15" ht="14.25" customHeight="1" x14ac:dyDescent="0.2">
      <c r="G189" s="172"/>
      <c r="H189" s="167"/>
      <c r="N189" s="172"/>
      <c r="O189" s="168"/>
    </row>
    <row r="190" spans="7:15" ht="14.25" customHeight="1" x14ac:dyDescent="0.2">
      <c r="G190" s="172"/>
      <c r="H190" s="167"/>
      <c r="N190" s="172"/>
      <c r="O190" s="168"/>
    </row>
    <row r="191" spans="7:15" ht="14.25" customHeight="1" x14ac:dyDescent="0.2">
      <c r="G191" s="172"/>
      <c r="H191" s="167"/>
      <c r="N191" s="172"/>
      <c r="O191" s="168"/>
    </row>
    <row r="192" spans="7:15" ht="14.25" customHeight="1" x14ac:dyDescent="0.2">
      <c r="G192" s="172"/>
      <c r="H192" s="167"/>
      <c r="N192" s="172"/>
      <c r="O192" s="168"/>
    </row>
    <row r="193" spans="7:15" ht="14.25" customHeight="1" x14ac:dyDescent="0.2">
      <c r="G193" s="172"/>
      <c r="H193" s="167"/>
      <c r="N193" s="172"/>
      <c r="O193" s="168"/>
    </row>
    <row r="194" spans="7:15" ht="14.25" customHeight="1" x14ac:dyDescent="0.2">
      <c r="G194" s="172"/>
      <c r="H194" s="167"/>
      <c r="N194" s="172"/>
      <c r="O194" s="168"/>
    </row>
    <row r="195" spans="7:15" ht="14.25" customHeight="1" x14ac:dyDescent="0.2">
      <c r="G195" s="172"/>
      <c r="H195" s="167"/>
      <c r="N195" s="172"/>
      <c r="O195" s="168"/>
    </row>
    <row r="196" spans="7:15" ht="14.25" customHeight="1" x14ac:dyDescent="0.2">
      <c r="G196" s="172"/>
      <c r="H196" s="167"/>
      <c r="N196" s="172"/>
      <c r="O196" s="168"/>
    </row>
    <row r="197" spans="7:15" ht="14.25" customHeight="1" x14ac:dyDescent="0.2">
      <c r="G197" s="172"/>
      <c r="H197" s="167"/>
      <c r="N197" s="172"/>
      <c r="O197" s="168"/>
    </row>
    <row r="198" spans="7:15" ht="14.25" customHeight="1" x14ac:dyDescent="0.2">
      <c r="G198" s="172"/>
      <c r="H198" s="167"/>
      <c r="N198" s="172"/>
      <c r="O198" s="168"/>
    </row>
    <row r="199" spans="7:15" ht="14.25" customHeight="1" x14ac:dyDescent="0.2">
      <c r="G199" s="172"/>
      <c r="H199" s="167"/>
      <c r="N199" s="172"/>
      <c r="O199" s="168"/>
    </row>
    <row r="200" spans="7:15" ht="14.25" customHeight="1" x14ac:dyDescent="0.2">
      <c r="G200" s="172"/>
      <c r="H200" s="167"/>
      <c r="N200" s="172"/>
      <c r="O200" s="168"/>
    </row>
    <row r="201" spans="7:15" ht="14.25" customHeight="1" x14ac:dyDescent="0.2">
      <c r="G201" s="172"/>
      <c r="H201" s="167"/>
      <c r="N201" s="172"/>
      <c r="O201" s="168"/>
    </row>
    <row r="202" spans="7:15" ht="14.25" customHeight="1" x14ac:dyDescent="0.2">
      <c r="G202" s="172"/>
      <c r="H202" s="167"/>
      <c r="N202" s="172"/>
      <c r="O202" s="168"/>
    </row>
    <row r="203" spans="7:15" ht="14.25" customHeight="1" x14ac:dyDescent="0.2">
      <c r="G203" s="172"/>
      <c r="H203" s="167"/>
      <c r="N203" s="172"/>
      <c r="O203" s="168"/>
    </row>
    <row r="204" spans="7:15" ht="14.25" customHeight="1" x14ac:dyDescent="0.2">
      <c r="G204" s="172"/>
      <c r="H204" s="167"/>
      <c r="N204" s="172"/>
      <c r="O204" s="168"/>
    </row>
    <row r="205" spans="7:15" ht="14.25" customHeight="1" x14ac:dyDescent="0.2">
      <c r="G205" s="172"/>
      <c r="H205" s="167"/>
      <c r="N205" s="172"/>
      <c r="O205" s="168"/>
    </row>
    <row r="206" spans="7:15" ht="14.25" customHeight="1" x14ac:dyDescent="0.2">
      <c r="G206" s="172"/>
      <c r="H206" s="167"/>
      <c r="N206" s="172"/>
      <c r="O206" s="168"/>
    </row>
    <row r="207" spans="7:15" ht="14.25" customHeight="1" x14ac:dyDescent="0.2">
      <c r="G207" s="172"/>
      <c r="H207" s="167"/>
      <c r="N207" s="172"/>
      <c r="O207" s="168"/>
    </row>
    <row r="208" spans="7:15" ht="14.25" customHeight="1" x14ac:dyDescent="0.2">
      <c r="G208" s="172"/>
      <c r="H208" s="167"/>
      <c r="N208" s="172"/>
      <c r="O208" s="168"/>
    </row>
    <row r="209" spans="7:15" ht="14.25" customHeight="1" x14ac:dyDescent="0.2">
      <c r="G209" s="172"/>
      <c r="H209" s="167"/>
      <c r="N209" s="172"/>
      <c r="O209" s="168"/>
    </row>
    <row r="210" spans="7:15" ht="14.25" customHeight="1" x14ac:dyDescent="0.2">
      <c r="G210" s="172"/>
      <c r="H210" s="167"/>
      <c r="N210" s="172"/>
      <c r="O210" s="168"/>
    </row>
    <row r="211" spans="7:15" ht="14.25" customHeight="1" x14ac:dyDescent="0.2">
      <c r="G211" s="172"/>
      <c r="H211" s="167"/>
      <c r="N211" s="172"/>
      <c r="O211" s="168"/>
    </row>
    <row r="212" spans="7:15" ht="14.25" customHeight="1" x14ac:dyDescent="0.2">
      <c r="G212" s="172"/>
      <c r="H212" s="167"/>
      <c r="N212" s="172"/>
      <c r="O212" s="168"/>
    </row>
    <row r="213" spans="7:15" ht="14.25" customHeight="1" x14ac:dyDescent="0.2">
      <c r="G213" s="172"/>
      <c r="H213" s="167"/>
      <c r="N213" s="172"/>
      <c r="O213" s="168"/>
    </row>
    <row r="214" spans="7:15" ht="14.25" customHeight="1" x14ac:dyDescent="0.2">
      <c r="G214" s="172"/>
      <c r="H214" s="167"/>
      <c r="N214" s="172"/>
      <c r="O214" s="168"/>
    </row>
    <row r="215" spans="7:15" ht="14.25" customHeight="1" x14ac:dyDescent="0.2">
      <c r="G215" s="172"/>
      <c r="H215" s="167"/>
      <c r="N215" s="172"/>
      <c r="O215" s="168"/>
    </row>
    <row r="216" spans="7:15" ht="14.25" customHeight="1" x14ac:dyDescent="0.2">
      <c r="G216" s="172"/>
      <c r="H216" s="167"/>
      <c r="N216" s="172"/>
      <c r="O216" s="168"/>
    </row>
    <row r="217" spans="7:15" ht="14.25" customHeight="1" x14ac:dyDescent="0.2">
      <c r="G217" s="172"/>
      <c r="H217" s="167"/>
      <c r="N217" s="172"/>
      <c r="O217" s="168"/>
    </row>
    <row r="218" spans="7:15" ht="14.25" customHeight="1" x14ac:dyDescent="0.2">
      <c r="G218" s="172"/>
      <c r="H218" s="167"/>
      <c r="N218" s="172"/>
      <c r="O218" s="168"/>
    </row>
    <row r="219" spans="7:15" ht="14.25" customHeight="1" x14ac:dyDescent="0.2">
      <c r="G219" s="172"/>
      <c r="H219" s="167"/>
      <c r="N219" s="172"/>
      <c r="O219" s="168"/>
    </row>
    <row r="220" spans="7:15" ht="14.25" customHeight="1" x14ac:dyDescent="0.2">
      <c r="G220" s="172"/>
      <c r="H220" s="167"/>
      <c r="N220" s="172"/>
      <c r="O220" s="168"/>
    </row>
    <row r="221" spans="7:15" ht="14.25" customHeight="1" x14ac:dyDescent="0.2">
      <c r="G221" s="172"/>
      <c r="H221" s="167"/>
      <c r="N221" s="172"/>
      <c r="O221" s="168"/>
    </row>
    <row r="222" spans="7:15" ht="14.25" customHeight="1" x14ac:dyDescent="0.2">
      <c r="G222" s="172"/>
      <c r="H222" s="167"/>
      <c r="N222" s="172"/>
      <c r="O222" s="168"/>
    </row>
    <row r="223" spans="7:15" ht="14.25" customHeight="1" x14ac:dyDescent="0.2">
      <c r="G223" s="172"/>
      <c r="H223" s="167"/>
      <c r="N223" s="172"/>
      <c r="O223" s="168"/>
    </row>
    <row r="224" spans="7:15" ht="14.25" customHeight="1" x14ac:dyDescent="0.2">
      <c r="G224" s="172"/>
      <c r="H224" s="167"/>
      <c r="N224" s="172"/>
      <c r="O224" s="168"/>
    </row>
    <row r="225" spans="7:15" ht="14.25" customHeight="1" x14ac:dyDescent="0.2">
      <c r="G225" s="172"/>
      <c r="H225" s="167"/>
      <c r="N225" s="172"/>
      <c r="O225" s="168"/>
    </row>
    <row r="226" spans="7:15" ht="14.25" customHeight="1" x14ac:dyDescent="0.2">
      <c r="G226" s="172"/>
      <c r="H226" s="167"/>
      <c r="N226" s="172"/>
      <c r="O226" s="168"/>
    </row>
    <row r="227" spans="7:15" ht="14.25" customHeight="1" x14ac:dyDescent="0.2">
      <c r="G227" s="172"/>
      <c r="H227" s="167"/>
      <c r="N227" s="172"/>
      <c r="O227" s="168"/>
    </row>
    <row r="228" spans="7:15" ht="14.25" customHeight="1" x14ac:dyDescent="0.2">
      <c r="G228" s="172"/>
      <c r="H228" s="167"/>
      <c r="N228" s="172"/>
      <c r="O228" s="168"/>
    </row>
    <row r="229" spans="7:15" ht="14.25" customHeight="1" x14ac:dyDescent="0.2">
      <c r="G229" s="172"/>
      <c r="H229" s="167"/>
      <c r="N229" s="172"/>
      <c r="O229" s="168"/>
    </row>
    <row r="230" spans="7:15" ht="14.25" customHeight="1" x14ac:dyDescent="0.2">
      <c r="G230" s="172"/>
      <c r="H230" s="167"/>
      <c r="N230" s="172"/>
      <c r="O230" s="168"/>
    </row>
    <row r="231" spans="7:15" ht="14.25" customHeight="1" x14ac:dyDescent="0.2">
      <c r="G231" s="172"/>
      <c r="H231" s="167"/>
      <c r="N231" s="172"/>
      <c r="O231" s="168"/>
    </row>
    <row r="232" spans="7:15" ht="14.25" customHeight="1" x14ac:dyDescent="0.2">
      <c r="G232" s="172"/>
      <c r="H232" s="167"/>
      <c r="N232" s="172"/>
      <c r="O232" s="168"/>
    </row>
    <row r="233" spans="7:15" ht="14.25" customHeight="1" x14ac:dyDescent="0.2">
      <c r="G233" s="172"/>
      <c r="H233" s="167"/>
      <c r="N233" s="172"/>
      <c r="O233" s="168"/>
    </row>
    <row r="234" spans="7:15" ht="14.25" customHeight="1" x14ac:dyDescent="0.2">
      <c r="G234" s="172"/>
      <c r="H234" s="167"/>
      <c r="N234" s="172"/>
      <c r="O234" s="168"/>
    </row>
    <row r="235" spans="7:15" ht="14.25" customHeight="1" x14ac:dyDescent="0.2">
      <c r="G235" s="172"/>
      <c r="H235" s="167"/>
      <c r="N235" s="172"/>
      <c r="O235" s="168"/>
    </row>
    <row r="236" spans="7:15" ht="14.25" customHeight="1" x14ac:dyDescent="0.2">
      <c r="G236" s="172"/>
      <c r="H236" s="167"/>
      <c r="N236" s="172"/>
      <c r="O236" s="168"/>
    </row>
    <row r="237" spans="7:15" ht="14.25" customHeight="1" x14ac:dyDescent="0.2">
      <c r="G237" s="172"/>
      <c r="H237" s="167"/>
      <c r="N237" s="172"/>
      <c r="O237" s="168"/>
    </row>
    <row r="238" spans="7:15" ht="14.25" customHeight="1" x14ac:dyDescent="0.2">
      <c r="G238" s="172"/>
      <c r="H238" s="167"/>
      <c r="N238" s="172"/>
      <c r="O238" s="168"/>
    </row>
    <row r="239" spans="7:15" ht="14.25" customHeight="1" x14ac:dyDescent="0.2">
      <c r="G239" s="172"/>
      <c r="H239" s="167"/>
      <c r="N239" s="172"/>
      <c r="O239" s="168"/>
    </row>
    <row r="240" spans="7:15" ht="14.25" customHeight="1" x14ac:dyDescent="0.2">
      <c r="G240" s="172"/>
      <c r="H240" s="167"/>
      <c r="N240" s="172"/>
      <c r="O240" s="168"/>
    </row>
    <row r="241" spans="7:15" ht="14.25" customHeight="1" x14ac:dyDescent="0.2">
      <c r="G241" s="172"/>
      <c r="H241" s="167"/>
      <c r="N241" s="172"/>
      <c r="O241" s="168"/>
    </row>
    <row r="242" spans="7:15" ht="14.25" customHeight="1" x14ac:dyDescent="0.2">
      <c r="G242" s="172"/>
      <c r="H242" s="167"/>
      <c r="N242" s="172"/>
      <c r="O242" s="168"/>
    </row>
    <row r="243" spans="7:15" ht="14.25" customHeight="1" x14ac:dyDescent="0.2">
      <c r="G243" s="172"/>
      <c r="H243" s="167"/>
      <c r="N243" s="172"/>
      <c r="O243" s="168"/>
    </row>
    <row r="244" spans="7:15" ht="14.25" customHeight="1" x14ac:dyDescent="0.2">
      <c r="G244" s="172"/>
      <c r="H244" s="167"/>
      <c r="N244" s="172"/>
      <c r="O244" s="168"/>
    </row>
    <row r="245" spans="7:15" ht="14.25" customHeight="1" x14ac:dyDescent="0.2">
      <c r="G245" s="172"/>
      <c r="H245" s="167"/>
      <c r="N245" s="172"/>
      <c r="O245" s="168"/>
    </row>
    <row r="246" spans="7:15" ht="14.25" customHeight="1" x14ac:dyDescent="0.2">
      <c r="G246" s="172"/>
      <c r="H246" s="167"/>
      <c r="N246" s="172"/>
      <c r="O246" s="168"/>
    </row>
    <row r="247" spans="7:15" ht="14.25" customHeight="1" x14ac:dyDescent="0.2">
      <c r="G247" s="172"/>
      <c r="H247" s="167"/>
      <c r="N247" s="172"/>
      <c r="O247" s="168"/>
    </row>
    <row r="248" spans="7:15" ht="14.25" customHeight="1" x14ac:dyDescent="0.2">
      <c r="G248" s="172"/>
      <c r="H248" s="167"/>
      <c r="N248" s="172"/>
      <c r="O248" s="168"/>
    </row>
    <row r="249" spans="7:15" ht="14.25" customHeight="1" x14ac:dyDescent="0.2">
      <c r="G249" s="172"/>
      <c r="H249" s="167"/>
      <c r="N249" s="172"/>
      <c r="O249" s="168"/>
    </row>
    <row r="250" spans="7:15" ht="14.25" customHeight="1" x14ac:dyDescent="0.2">
      <c r="G250" s="172"/>
      <c r="H250" s="167"/>
      <c r="N250" s="172"/>
      <c r="O250" s="168"/>
    </row>
    <row r="251" spans="7:15" ht="14.25" customHeight="1" x14ac:dyDescent="0.2">
      <c r="G251" s="172"/>
      <c r="H251" s="167"/>
      <c r="N251" s="172"/>
      <c r="O251" s="168"/>
    </row>
    <row r="252" spans="7:15" ht="14.25" customHeight="1" x14ac:dyDescent="0.2">
      <c r="G252" s="172"/>
      <c r="H252" s="167"/>
      <c r="N252" s="172"/>
      <c r="O252" s="168"/>
    </row>
    <row r="253" spans="7:15" ht="14.25" customHeight="1" x14ac:dyDescent="0.2">
      <c r="G253" s="172"/>
      <c r="H253" s="167"/>
      <c r="N253" s="172"/>
      <c r="O253" s="168"/>
    </row>
    <row r="254" spans="7:15" ht="14.25" customHeight="1" x14ac:dyDescent="0.2">
      <c r="G254" s="172"/>
      <c r="H254" s="167"/>
      <c r="N254" s="172"/>
      <c r="O254" s="168"/>
    </row>
    <row r="255" spans="7:15" ht="14.25" customHeight="1" x14ac:dyDescent="0.2">
      <c r="G255" s="172"/>
      <c r="H255" s="167"/>
      <c r="N255" s="172"/>
      <c r="O255" s="168"/>
    </row>
    <row r="256" spans="7:15" ht="14.25" customHeight="1" x14ac:dyDescent="0.2">
      <c r="G256" s="172"/>
      <c r="H256" s="167"/>
      <c r="N256" s="172"/>
      <c r="O256" s="168"/>
    </row>
    <row r="257" spans="7:15" ht="14.25" customHeight="1" x14ac:dyDescent="0.2">
      <c r="G257" s="172"/>
      <c r="H257" s="167"/>
      <c r="N257" s="172"/>
      <c r="O257" s="168"/>
    </row>
    <row r="258" spans="7:15" ht="14.25" customHeight="1" x14ac:dyDescent="0.2">
      <c r="G258" s="172"/>
      <c r="H258" s="167"/>
      <c r="N258" s="172"/>
      <c r="O258" s="168"/>
    </row>
    <row r="259" spans="7:15" ht="14.25" customHeight="1" x14ac:dyDescent="0.2">
      <c r="G259" s="172"/>
      <c r="H259" s="167"/>
      <c r="N259" s="172"/>
      <c r="O259" s="168"/>
    </row>
    <row r="260" spans="7:15" ht="14.25" customHeight="1" x14ac:dyDescent="0.2">
      <c r="G260" s="172"/>
      <c r="H260" s="167"/>
      <c r="N260" s="172"/>
      <c r="O260" s="168"/>
    </row>
    <row r="261" spans="7:15" ht="14.25" customHeight="1" x14ac:dyDescent="0.2">
      <c r="G261" s="172"/>
      <c r="H261" s="167"/>
      <c r="N261" s="172"/>
      <c r="O261" s="168"/>
    </row>
    <row r="262" spans="7:15" ht="14.25" customHeight="1" x14ac:dyDescent="0.2">
      <c r="G262" s="172"/>
      <c r="H262" s="167"/>
      <c r="N262" s="172"/>
      <c r="O262" s="168"/>
    </row>
    <row r="263" spans="7:15" ht="14.25" customHeight="1" x14ac:dyDescent="0.2">
      <c r="G263" s="172"/>
      <c r="H263" s="167"/>
      <c r="N263" s="172"/>
      <c r="O263" s="168"/>
    </row>
    <row r="264" spans="7:15" ht="14.25" customHeight="1" x14ac:dyDescent="0.2">
      <c r="G264" s="172"/>
      <c r="H264" s="167"/>
      <c r="N264" s="172"/>
      <c r="O264" s="168"/>
    </row>
    <row r="265" spans="7:15" ht="14.25" customHeight="1" x14ac:dyDescent="0.2">
      <c r="G265" s="172"/>
      <c r="H265" s="167"/>
      <c r="N265" s="172"/>
      <c r="O265" s="168"/>
    </row>
    <row r="266" spans="7:15" ht="14.25" customHeight="1" x14ac:dyDescent="0.2">
      <c r="G266" s="172"/>
      <c r="H266" s="167"/>
      <c r="N266" s="172"/>
      <c r="O266" s="168"/>
    </row>
    <row r="267" spans="7:15" ht="14.25" customHeight="1" x14ac:dyDescent="0.2">
      <c r="G267" s="172"/>
      <c r="H267" s="167"/>
      <c r="N267" s="172"/>
      <c r="O267" s="168"/>
    </row>
    <row r="268" spans="7:15" ht="14.25" customHeight="1" x14ac:dyDescent="0.2">
      <c r="G268" s="172"/>
      <c r="H268" s="167"/>
      <c r="N268" s="172"/>
      <c r="O268" s="168"/>
    </row>
    <row r="269" spans="7:15" ht="14.25" customHeight="1" x14ac:dyDescent="0.2">
      <c r="G269" s="172"/>
      <c r="H269" s="167"/>
      <c r="N269" s="172"/>
      <c r="O269" s="168"/>
    </row>
    <row r="270" spans="7:15" ht="14.25" customHeight="1" x14ac:dyDescent="0.2">
      <c r="G270" s="172"/>
      <c r="H270" s="167"/>
      <c r="N270" s="172"/>
      <c r="O270" s="168"/>
    </row>
    <row r="271" spans="7:15" ht="14.25" customHeight="1" x14ac:dyDescent="0.2">
      <c r="G271" s="172"/>
      <c r="H271" s="167"/>
      <c r="N271" s="172"/>
      <c r="O271" s="168"/>
    </row>
    <row r="272" spans="7:15" ht="14.25" customHeight="1" x14ac:dyDescent="0.2">
      <c r="G272" s="172"/>
      <c r="H272" s="167"/>
      <c r="N272" s="172"/>
      <c r="O272" s="168"/>
    </row>
    <row r="273" spans="7:15" ht="14.25" customHeight="1" x14ac:dyDescent="0.2">
      <c r="G273" s="172"/>
      <c r="H273" s="167"/>
      <c r="N273" s="172"/>
      <c r="O273" s="168"/>
    </row>
    <row r="274" spans="7:15" ht="14.25" customHeight="1" x14ac:dyDescent="0.2">
      <c r="G274" s="172"/>
      <c r="H274" s="167"/>
      <c r="N274" s="172"/>
      <c r="O274" s="168"/>
    </row>
    <row r="275" spans="7:15" ht="14.25" customHeight="1" x14ac:dyDescent="0.2">
      <c r="G275" s="172"/>
      <c r="H275" s="167"/>
      <c r="N275" s="172"/>
      <c r="O275" s="168"/>
    </row>
    <row r="276" spans="7:15" ht="14.25" customHeight="1" x14ac:dyDescent="0.2">
      <c r="G276" s="172"/>
      <c r="H276" s="167"/>
      <c r="N276" s="172"/>
      <c r="O276" s="168"/>
    </row>
    <row r="277" spans="7:15" ht="14.25" customHeight="1" x14ac:dyDescent="0.2">
      <c r="G277" s="172"/>
      <c r="H277" s="167"/>
      <c r="N277" s="172"/>
      <c r="O277" s="168"/>
    </row>
    <row r="278" spans="7:15" ht="14.25" customHeight="1" x14ac:dyDescent="0.2">
      <c r="G278" s="172"/>
      <c r="H278" s="167"/>
      <c r="N278" s="172"/>
      <c r="O278" s="168"/>
    </row>
    <row r="279" spans="7:15" ht="14.25" customHeight="1" x14ac:dyDescent="0.2">
      <c r="G279" s="172"/>
      <c r="H279" s="167"/>
      <c r="N279" s="172"/>
      <c r="O279" s="168"/>
    </row>
    <row r="280" spans="7:15" ht="14.25" customHeight="1" x14ac:dyDescent="0.2">
      <c r="G280" s="172"/>
      <c r="H280" s="167"/>
      <c r="N280" s="172"/>
      <c r="O280" s="168"/>
    </row>
    <row r="281" spans="7:15" ht="14.25" customHeight="1" x14ac:dyDescent="0.2">
      <c r="G281" s="172"/>
      <c r="H281" s="167"/>
      <c r="N281" s="172"/>
      <c r="O281" s="168"/>
    </row>
    <row r="282" spans="7:15" ht="14.25" customHeight="1" x14ac:dyDescent="0.2">
      <c r="G282" s="172"/>
      <c r="H282" s="167"/>
      <c r="N282" s="172"/>
      <c r="O282" s="168"/>
    </row>
    <row r="283" spans="7:15" ht="14.25" customHeight="1" x14ac:dyDescent="0.2">
      <c r="G283" s="172"/>
      <c r="H283" s="167"/>
      <c r="N283" s="172"/>
      <c r="O283" s="168"/>
    </row>
    <row r="284" spans="7:15" ht="14.25" customHeight="1" x14ac:dyDescent="0.2">
      <c r="G284" s="172"/>
      <c r="H284" s="167"/>
      <c r="N284" s="172"/>
      <c r="O284" s="168"/>
    </row>
    <row r="285" spans="7:15" ht="14.25" customHeight="1" x14ac:dyDescent="0.2">
      <c r="G285" s="172"/>
      <c r="H285" s="167"/>
      <c r="N285" s="172"/>
      <c r="O285" s="168"/>
    </row>
    <row r="286" spans="7:15" ht="14.25" customHeight="1" x14ac:dyDescent="0.2">
      <c r="G286" s="172"/>
      <c r="H286" s="167"/>
      <c r="N286" s="172"/>
      <c r="O286" s="168"/>
    </row>
    <row r="287" spans="7:15" ht="14.25" customHeight="1" x14ac:dyDescent="0.2">
      <c r="G287" s="172"/>
      <c r="H287" s="167"/>
      <c r="N287" s="172"/>
      <c r="O287" s="168"/>
    </row>
    <row r="288" spans="7:15" ht="14.25" customHeight="1" x14ac:dyDescent="0.2">
      <c r="G288" s="172"/>
      <c r="H288" s="167"/>
      <c r="N288" s="172"/>
      <c r="O288" s="168"/>
    </row>
    <row r="289" spans="7:15" ht="14.25" customHeight="1" x14ac:dyDescent="0.2">
      <c r="G289" s="172"/>
      <c r="H289" s="167"/>
      <c r="N289" s="172"/>
      <c r="O289" s="168"/>
    </row>
    <row r="290" spans="7:15" ht="14.25" customHeight="1" x14ac:dyDescent="0.2">
      <c r="G290" s="172"/>
      <c r="H290" s="167"/>
      <c r="N290" s="172"/>
      <c r="O290" s="168"/>
    </row>
    <row r="291" spans="7:15" ht="14.25" customHeight="1" x14ac:dyDescent="0.2">
      <c r="G291" s="172"/>
      <c r="H291" s="167"/>
      <c r="N291" s="172"/>
      <c r="O291" s="168"/>
    </row>
    <row r="292" spans="7:15" ht="14.25" customHeight="1" x14ac:dyDescent="0.2">
      <c r="G292" s="172"/>
      <c r="H292" s="167"/>
      <c r="N292" s="172"/>
      <c r="O292" s="168"/>
    </row>
    <row r="293" spans="7:15" ht="14.25" customHeight="1" x14ac:dyDescent="0.2">
      <c r="G293" s="172"/>
      <c r="H293" s="167"/>
      <c r="N293" s="172"/>
      <c r="O293" s="168"/>
    </row>
    <row r="294" spans="7:15" ht="14.25" customHeight="1" x14ac:dyDescent="0.2">
      <c r="G294" s="172"/>
      <c r="H294" s="167"/>
      <c r="N294" s="172"/>
      <c r="O294" s="168"/>
    </row>
    <row r="295" spans="7:15" ht="14.25" customHeight="1" x14ac:dyDescent="0.2">
      <c r="G295" s="172"/>
      <c r="H295" s="167"/>
      <c r="N295" s="172"/>
      <c r="O295" s="168"/>
    </row>
    <row r="296" spans="7:15" ht="14.25" customHeight="1" x14ac:dyDescent="0.2">
      <c r="G296" s="172"/>
      <c r="H296" s="167"/>
      <c r="N296" s="172"/>
      <c r="O296" s="168"/>
    </row>
    <row r="297" spans="7:15" ht="14.25" customHeight="1" x14ac:dyDescent="0.2">
      <c r="G297" s="172"/>
      <c r="H297" s="167"/>
      <c r="N297" s="172"/>
      <c r="O297" s="168"/>
    </row>
    <row r="298" spans="7:15" ht="14.25" customHeight="1" x14ac:dyDescent="0.2">
      <c r="G298" s="172"/>
      <c r="H298" s="167"/>
      <c r="N298" s="172"/>
      <c r="O298" s="168"/>
    </row>
    <row r="299" spans="7:15" ht="14.25" customHeight="1" x14ac:dyDescent="0.2">
      <c r="G299" s="172"/>
      <c r="H299" s="167"/>
      <c r="N299" s="172"/>
      <c r="O299" s="168"/>
    </row>
    <row r="300" spans="7:15" ht="14.25" customHeight="1" x14ac:dyDescent="0.2">
      <c r="G300" s="172"/>
      <c r="H300" s="167"/>
      <c r="N300" s="172"/>
      <c r="O300" s="168"/>
    </row>
    <row r="301" spans="7:15" ht="14.25" customHeight="1" x14ac:dyDescent="0.2">
      <c r="G301" s="172"/>
      <c r="H301" s="167"/>
      <c r="N301" s="172"/>
      <c r="O301" s="168"/>
    </row>
    <row r="302" spans="7:15" ht="14.25" customHeight="1" x14ac:dyDescent="0.2">
      <c r="G302" s="172"/>
      <c r="H302" s="167"/>
      <c r="N302" s="172"/>
      <c r="O302" s="168"/>
    </row>
    <row r="303" spans="7:15" ht="14.25" customHeight="1" x14ac:dyDescent="0.2">
      <c r="G303" s="172"/>
      <c r="H303" s="167"/>
      <c r="N303" s="172"/>
      <c r="O303" s="168"/>
    </row>
    <row r="304" spans="7:15" ht="14.25" customHeight="1" x14ac:dyDescent="0.2">
      <c r="G304" s="172"/>
      <c r="H304" s="167"/>
      <c r="N304" s="172"/>
      <c r="O304" s="168"/>
    </row>
    <row r="305" spans="7:15" ht="14.25" customHeight="1" x14ac:dyDescent="0.2">
      <c r="G305" s="172"/>
      <c r="H305" s="167"/>
      <c r="N305" s="172"/>
      <c r="O305" s="168"/>
    </row>
    <row r="306" spans="7:15" ht="14.25" customHeight="1" x14ac:dyDescent="0.2">
      <c r="G306" s="172"/>
      <c r="H306" s="167"/>
      <c r="N306" s="172"/>
      <c r="O306" s="168"/>
    </row>
    <row r="307" spans="7:15" ht="14.25" customHeight="1" x14ac:dyDescent="0.2">
      <c r="G307" s="172"/>
      <c r="H307" s="167"/>
      <c r="N307" s="172"/>
      <c r="O307" s="168"/>
    </row>
    <row r="308" spans="7:15" ht="14.25" customHeight="1" x14ac:dyDescent="0.2">
      <c r="G308" s="172"/>
      <c r="H308" s="167"/>
      <c r="N308" s="172"/>
      <c r="O308" s="168"/>
    </row>
    <row r="309" spans="7:15" ht="14.25" customHeight="1" x14ac:dyDescent="0.2">
      <c r="G309" s="172"/>
      <c r="H309" s="167"/>
      <c r="N309" s="172"/>
      <c r="O309" s="168"/>
    </row>
    <row r="310" spans="7:15" ht="14.25" customHeight="1" x14ac:dyDescent="0.2">
      <c r="G310" s="172"/>
      <c r="H310" s="167"/>
      <c r="N310" s="172"/>
      <c r="O310" s="168"/>
    </row>
    <row r="311" spans="7:15" ht="14.25" customHeight="1" x14ac:dyDescent="0.2">
      <c r="G311" s="172"/>
      <c r="H311" s="167"/>
      <c r="N311" s="172"/>
      <c r="O311" s="168"/>
    </row>
    <row r="312" spans="7:15" ht="14.25" customHeight="1" x14ac:dyDescent="0.2">
      <c r="G312" s="172"/>
      <c r="H312" s="167"/>
      <c r="N312" s="172"/>
      <c r="O312" s="168"/>
    </row>
    <row r="313" spans="7:15" ht="14.25" customHeight="1" x14ac:dyDescent="0.2">
      <c r="G313" s="172"/>
      <c r="H313" s="167"/>
      <c r="N313" s="172"/>
      <c r="O313" s="168"/>
    </row>
    <row r="314" spans="7:15" ht="14.25" customHeight="1" x14ac:dyDescent="0.2">
      <c r="G314" s="172"/>
      <c r="H314" s="167"/>
      <c r="N314" s="172"/>
      <c r="O314" s="168"/>
    </row>
    <row r="315" spans="7:15" ht="14.25" customHeight="1" x14ac:dyDescent="0.2">
      <c r="G315" s="172"/>
      <c r="H315" s="167"/>
      <c r="N315" s="172"/>
      <c r="O315" s="168"/>
    </row>
    <row r="316" spans="7:15" ht="14.25" customHeight="1" x14ac:dyDescent="0.2">
      <c r="G316" s="172"/>
      <c r="H316" s="167"/>
      <c r="N316" s="172"/>
      <c r="O316" s="168"/>
    </row>
    <row r="317" spans="7:15" ht="14.25" customHeight="1" x14ac:dyDescent="0.2">
      <c r="G317" s="172"/>
      <c r="H317" s="167"/>
      <c r="N317" s="172"/>
      <c r="O317" s="168"/>
    </row>
    <row r="318" spans="7:15" ht="14.25" customHeight="1" x14ac:dyDescent="0.2">
      <c r="G318" s="172"/>
      <c r="H318" s="167"/>
      <c r="N318" s="172"/>
      <c r="O318" s="168"/>
    </row>
    <row r="319" spans="7:15" ht="14.25" customHeight="1" x14ac:dyDescent="0.2">
      <c r="G319" s="172"/>
      <c r="H319" s="167"/>
      <c r="N319" s="172"/>
      <c r="O319" s="168"/>
    </row>
    <row r="320" spans="7:15" ht="14.25" customHeight="1" x14ac:dyDescent="0.2">
      <c r="G320" s="172"/>
      <c r="H320" s="167"/>
      <c r="N320" s="172"/>
      <c r="O320" s="168"/>
    </row>
    <row r="321" spans="7:15" ht="14.25" customHeight="1" x14ac:dyDescent="0.2">
      <c r="G321" s="172"/>
      <c r="H321" s="167"/>
      <c r="N321" s="172"/>
      <c r="O321" s="168"/>
    </row>
    <row r="322" spans="7:15" ht="14.25" customHeight="1" x14ac:dyDescent="0.2">
      <c r="G322" s="172"/>
      <c r="H322" s="167"/>
      <c r="N322" s="172"/>
      <c r="O322" s="168"/>
    </row>
    <row r="323" spans="7:15" ht="14.25" customHeight="1" x14ac:dyDescent="0.2">
      <c r="G323" s="172"/>
      <c r="H323" s="167"/>
      <c r="N323" s="172"/>
      <c r="O323" s="168"/>
    </row>
    <row r="324" spans="7:15" ht="14.25" customHeight="1" x14ac:dyDescent="0.2">
      <c r="G324" s="172"/>
      <c r="H324" s="167"/>
      <c r="N324" s="172"/>
      <c r="O324" s="168"/>
    </row>
    <row r="325" spans="7:15" ht="14.25" customHeight="1" x14ac:dyDescent="0.2">
      <c r="G325" s="172"/>
      <c r="H325" s="167"/>
      <c r="N325" s="172"/>
      <c r="O325" s="168"/>
    </row>
    <row r="326" spans="7:15" ht="14.25" customHeight="1" x14ac:dyDescent="0.2">
      <c r="G326" s="172"/>
      <c r="H326" s="167"/>
      <c r="N326" s="172"/>
      <c r="O326" s="168"/>
    </row>
    <row r="327" spans="7:15" ht="14.25" customHeight="1" x14ac:dyDescent="0.2">
      <c r="G327" s="172"/>
      <c r="H327" s="167"/>
      <c r="N327" s="172"/>
      <c r="O327" s="168"/>
    </row>
    <row r="328" spans="7:15" ht="14.25" customHeight="1" x14ac:dyDescent="0.2">
      <c r="G328" s="172"/>
      <c r="H328" s="167"/>
      <c r="N328" s="172"/>
      <c r="O328" s="168"/>
    </row>
    <row r="329" spans="7:15" ht="14.25" customHeight="1" x14ac:dyDescent="0.2">
      <c r="G329" s="172"/>
      <c r="H329" s="167"/>
      <c r="N329" s="172"/>
      <c r="O329" s="168"/>
    </row>
    <row r="330" spans="7:15" ht="14.25" customHeight="1" x14ac:dyDescent="0.2">
      <c r="G330" s="172"/>
      <c r="H330" s="167"/>
      <c r="N330" s="172"/>
      <c r="O330" s="168"/>
    </row>
    <row r="331" spans="7:15" ht="14.25" customHeight="1" x14ac:dyDescent="0.2">
      <c r="G331" s="172"/>
      <c r="H331" s="167"/>
      <c r="N331" s="172"/>
      <c r="O331" s="168"/>
    </row>
    <row r="332" spans="7:15" ht="14.25" customHeight="1" x14ac:dyDescent="0.2">
      <c r="G332" s="172"/>
      <c r="H332" s="167"/>
      <c r="N332" s="172"/>
      <c r="O332" s="168"/>
    </row>
    <row r="333" spans="7:15" ht="14.25" customHeight="1" x14ac:dyDescent="0.2">
      <c r="G333" s="172"/>
      <c r="H333" s="167"/>
      <c r="N333" s="172"/>
      <c r="O333" s="168"/>
    </row>
    <row r="334" spans="7:15" ht="14.25" customHeight="1" x14ac:dyDescent="0.2">
      <c r="G334" s="172"/>
      <c r="H334" s="167"/>
      <c r="N334" s="172"/>
      <c r="O334" s="168"/>
    </row>
    <row r="335" spans="7:15" ht="14.25" customHeight="1" x14ac:dyDescent="0.2">
      <c r="G335" s="172"/>
      <c r="H335" s="167"/>
      <c r="N335" s="172"/>
      <c r="O335" s="168"/>
    </row>
    <row r="336" spans="7:15" ht="14.25" customHeight="1" x14ac:dyDescent="0.2">
      <c r="G336" s="172"/>
      <c r="H336" s="167"/>
      <c r="N336" s="172"/>
      <c r="O336" s="168"/>
    </row>
    <row r="337" spans="7:15" ht="14.25" customHeight="1" x14ac:dyDescent="0.2">
      <c r="G337" s="172"/>
      <c r="H337" s="167"/>
      <c r="N337" s="172"/>
      <c r="O337" s="168"/>
    </row>
    <row r="338" spans="7:15" ht="14.25" customHeight="1" x14ac:dyDescent="0.2">
      <c r="G338" s="172"/>
      <c r="H338" s="167"/>
      <c r="N338" s="172"/>
      <c r="O338" s="168"/>
    </row>
    <row r="339" spans="7:15" ht="14.25" customHeight="1" x14ac:dyDescent="0.2">
      <c r="G339" s="172"/>
      <c r="H339" s="167"/>
      <c r="N339" s="172"/>
      <c r="O339" s="168"/>
    </row>
    <row r="340" spans="7:15" ht="14.25" customHeight="1" x14ac:dyDescent="0.2">
      <c r="G340" s="172"/>
      <c r="H340" s="167"/>
      <c r="N340" s="172"/>
      <c r="O340" s="168"/>
    </row>
    <row r="341" spans="7:15" ht="14.25" customHeight="1" x14ac:dyDescent="0.2">
      <c r="G341" s="172"/>
      <c r="H341" s="167"/>
      <c r="N341" s="172"/>
      <c r="O341" s="168"/>
    </row>
    <row r="342" spans="7:15" ht="14.25" customHeight="1" x14ac:dyDescent="0.2">
      <c r="G342" s="172"/>
      <c r="H342" s="167"/>
      <c r="N342" s="172"/>
      <c r="O342" s="168"/>
    </row>
    <row r="343" spans="7:15" ht="14.25" customHeight="1" x14ac:dyDescent="0.2">
      <c r="G343" s="172"/>
      <c r="H343" s="167"/>
      <c r="N343" s="172"/>
      <c r="O343" s="168"/>
    </row>
    <row r="344" spans="7:15" ht="14.25" customHeight="1" x14ac:dyDescent="0.2">
      <c r="G344" s="172"/>
      <c r="H344" s="167"/>
      <c r="N344" s="172"/>
      <c r="O344" s="168"/>
    </row>
    <row r="345" spans="7:15" ht="14.25" customHeight="1" x14ac:dyDescent="0.2">
      <c r="G345" s="172"/>
      <c r="H345" s="167"/>
      <c r="N345" s="172"/>
      <c r="O345" s="168"/>
    </row>
    <row r="346" spans="7:15" ht="14.25" customHeight="1" x14ac:dyDescent="0.2">
      <c r="G346" s="172"/>
      <c r="H346" s="167"/>
      <c r="N346" s="172"/>
      <c r="O346" s="168"/>
    </row>
    <row r="347" spans="7:15" ht="14.25" customHeight="1" x14ac:dyDescent="0.2">
      <c r="G347" s="172"/>
      <c r="H347" s="167"/>
      <c r="N347" s="172"/>
      <c r="O347" s="168"/>
    </row>
    <row r="348" spans="7:15" ht="14.25" customHeight="1" x14ac:dyDescent="0.2">
      <c r="G348" s="172"/>
      <c r="H348" s="167"/>
      <c r="N348" s="172"/>
      <c r="O348" s="168"/>
    </row>
    <row r="349" spans="7:15" ht="14.25" customHeight="1" x14ac:dyDescent="0.2">
      <c r="G349" s="172"/>
      <c r="H349" s="167"/>
      <c r="N349" s="172"/>
      <c r="O349" s="168"/>
    </row>
    <row r="350" spans="7:15" ht="14.25" customHeight="1" x14ac:dyDescent="0.2">
      <c r="G350" s="172"/>
      <c r="H350" s="167"/>
      <c r="N350" s="172"/>
      <c r="O350" s="168"/>
    </row>
    <row r="351" spans="7:15" ht="14.25" customHeight="1" x14ac:dyDescent="0.2">
      <c r="G351" s="172"/>
      <c r="H351" s="167"/>
      <c r="N351" s="172"/>
      <c r="O351" s="168"/>
    </row>
    <row r="352" spans="7:15" ht="14.25" customHeight="1" x14ac:dyDescent="0.2">
      <c r="G352" s="172"/>
      <c r="H352" s="167"/>
      <c r="N352" s="172"/>
      <c r="O352" s="168"/>
    </row>
    <row r="353" spans="7:15" ht="14.25" customHeight="1" x14ac:dyDescent="0.2">
      <c r="G353" s="172"/>
      <c r="H353" s="167"/>
      <c r="N353" s="172"/>
      <c r="O353" s="168"/>
    </row>
    <row r="354" spans="7:15" ht="14.25" customHeight="1" x14ac:dyDescent="0.2">
      <c r="G354" s="172"/>
      <c r="H354" s="167"/>
      <c r="N354" s="172"/>
      <c r="O354" s="168"/>
    </row>
    <row r="355" spans="7:15" ht="14.25" customHeight="1" x14ac:dyDescent="0.2">
      <c r="G355" s="172"/>
      <c r="H355" s="167"/>
      <c r="N355" s="172"/>
      <c r="O355" s="168"/>
    </row>
    <row r="356" spans="7:15" ht="14.25" customHeight="1" x14ac:dyDescent="0.2">
      <c r="G356" s="172"/>
      <c r="H356" s="167"/>
      <c r="N356" s="172"/>
      <c r="O356" s="168"/>
    </row>
    <row r="357" spans="7:15" ht="14.25" customHeight="1" x14ac:dyDescent="0.2">
      <c r="G357" s="172"/>
      <c r="H357" s="167"/>
      <c r="N357" s="172"/>
      <c r="O357" s="168"/>
    </row>
    <row r="358" spans="7:15" ht="14.25" customHeight="1" x14ac:dyDescent="0.2">
      <c r="G358" s="172"/>
      <c r="H358" s="167"/>
      <c r="N358" s="172"/>
      <c r="O358" s="168"/>
    </row>
    <row r="359" spans="7:15" ht="14.25" customHeight="1" x14ac:dyDescent="0.2">
      <c r="G359" s="172"/>
      <c r="H359" s="167"/>
      <c r="N359" s="172"/>
      <c r="O359" s="168"/>
    </row>
    <row r="360" spans="7:15" ht="14.25" customHeight="1" x14ac:dyDescent="0.2">
      <c r="G360" s="172"/>
      <c r="H360" s="167"/>
      <c r="N360" s="172"/>
      <c r="O360" s="168"/>
    </row>
    <row r="361" spans="7:15" ht="14.25" customHeight="1" x14ac:dyDescent="0.2">
      <c r="G361" s="172"/>
      <c r="H361" s="167"/>
      <c r="N361" s="172"/>
      <c r="O361" s="168"/>
    </row>
    <row r="362" spans="7:15" ht="14.25" customHeight="1" x14ac:dyDescent="0.2">
      <c r="G362" s="172"/>
      <c r="H362" s="167"/>
      <c r="N362" s="172"/>
      <c r="O362" s="168"/>
    </row>
    <row r="363" spans="7:15" ht="14.25" customHeight="1" x14ac:dyDescent="0.2">
      <c r="G363" s="172"/>
      <c r="H363" s="167"/>
      <c r="N363" s="172"/>
      <c r="O363" s="168"/>
    </row>
    <row r="364" spans="7:15" ht="14.25" customHeight="1" x14ac:dyDescent="0.2">
      <c r="G364" s="172"/>
      <c r="H364" s="167"/>
      <c r="N364" s="172"/>
      <c r="O364" s="168"/>
    </row>
    <row r="365" spans="7:15" ht="14.25" customHeight="1" x14ac:dyDescent="0.2">
      <c r="G365" s="172"/>
      <c r="H365" s="167"/>
      <c r="N365" s="172"/>
      <c r="O365" s="168"/>
    </row>
    <row r="366" spans="7:15" ht="14.25" customHeight="1" x14ac:dyDescent="0.2">
      <c r="G366" s="172"/>
      <c r="H366" s="167"/>
      <c r="N366" s="172"/>
      <c r="O366" s="168"/>
    </row>
    <row r="367" spans="7:15" ht="14.25" customHeight="1" x14ac:dyDescent="0.2">
      <c r="G367" s="172"/>
      <c r="H367" s="167"/>
      <c r="N367" s="172"/>
      <c r="O367" s="168"/>
    </row>
    <row r="368" spans="7:15" ht="14.25" customHeight="1" x14ac:dyDescent="0.2">
      <c r="G368" s="172"/>
      <c r="H368" s="167"/>
      <c r="N368" s="172"/>
      <c r="O368" s="168"/>
    </row>
    <row r="369" spans="7:15" ht="14.25" customHeight="1" x14ac:dyDescent="0.2">
      <c r="G369" s="172"/>
      <c r="H369" s="167"/>
      <c r="N369" s="172"/>
      <c r="O369" s="168"/>
    </row>
    <row r="370" spans="7:15" ht="14.25" customHeight="1" x14ac:dyDescent="0.2">
      <c r="G370" s="172"/>
      <c r="H370" s="167"/>
      <c r="N370" s="172"/>
      <c r="O370" s="168"/>
    </row>
    <row r="371" spans="7:15" ht="14.25" customHeight="1" x14ac:dyDescent="0.2">
      <c r="G371" s="172"/>
      <c r="H371" s="167"/>
      <c r="N371" s="172"/>
      <c r="O371" s="168"/>
    </row>
    <row r="372" spans="7:15" ht="14.25" customHeight="1" x14ac:dyDescent="0.2">
      <c r="G372" s="172"/>
      <c r="H372" s="167"/>
      <c r="N372" s="172"/>
      <c r="O372" s="168"/>
    </row>
    <row r="373" spans="7:15" ht="14.25" customHeight="1" x14ac:dyDescent="0.2">
      <c r="G373" s="172"/>
      <c r="H373" s="167"/>
      <c r="N373" s="172"/>
      <c r="O373" s="168"/>
    </row>
    <row r="374" spans="7:15" ht="14.25" customHeight="1" x14ac:dyDescent="0.2">
      <c r="G374" s="172"/>
      <c r="H374" s="167"/>
      <c r="N374" s="172"/>
      <c r="O374" s="168"/>
    </row>
    <row r="375" spans="7:15" ht="14.25" customHeight="1" x14ac:dyDescent="0.2">
      <c r="G375" s="172"/>
      <c r="H375" s="167"/>
      <c r="N375" s="172"/>
      <c r="O375" s="168"/>
    </row>
    <row r="376" spans="7:15" ht="14.25" customHeight="1" x14ac:dyDescent="0.2">
      <c r="G376" s="172"/>
      <c r="H376" s="167"/>
      <c r="N376" s="172"/>
      <c r="O376" s="168"/>
    </row>
    <row r="377" spans="7:15" ht="14.25" customHeight="1" x14ac:dyDescent="0.2">
      <c r="G377" s="172"/>
      <c r="H377" s="167"/>
      <c r="N377" s="172"/>
      <c r="O377" s="168"/>
    </row>
    <row r="378" spans="7:15" ht="14.25" customHeight="1" x14ac:dyDescent="0.2">
      <c r="G378" s="172"/>
      <c r="H378" s="167"/>
      <c r="N378" s="172"/>
      <c r="O378" s="168"/>
    </row>
    <row r="379" spans="7:15" ht="14.25" customHeight="1" x14ac:dyDescent="0.2">
      <c r="G379" s="172"/>
      <c r="H379" s="167"/>
      <c r="N379" s="172"/>
      <c r="O379" s="168"/>
    </row>
    <row r="380" spans="7:15" ht="14.25" customHeight="1" x14ac:dyDescent="0.2">
      <c r="G380" s="172"/>
      <c r="H380" s="167"/>
      <c r="N380" s="172"/>
      <c r="O380" s="168"/>
    </row>
    <row r="381" spans="7:15" ht="14.25" customHeight="1" x14ac:dyDescent="0.2">
      <c r="G381" s="172"/>
      <c r="H381" s="167"/>
      <c r="N381" s="172"/>
      <c r="O381" s="168"/>
    </row>
    <row r="382" spans="7:15" ht="14.25" customHeight="1" x14ac:dyDescent="0.2">
      <c r="G382" s="172"/>
      <c r="H382" s="167"/>
      <c r="N382" s="172"/>
      <c r="O382" s="168"/>
    </row>
    <row r="383" spans="7:15" ht="14.25" customHeight="1" x14ac:dyDescent="0.2">
      <c r="G383" s="172"/>
      <c r="H383" s="167"/>
      <c r="N383" s="172"/>
      <c r="O383" s="168"/>
    </row>
    <row r="384" spans="7:15" ht="14.25" customHeight="1" x14ac:dyDescent="0.2">
      <c r="G384" s="172"/>
      <c r="H384" s="167"/>
      <c r="N384" s="172"/>
      <c r="O384" s="168"/>
    </row>
    <row r="385" spans="7:15" ht="14.25" customHeight="1" x14ac:dyDescent="0.2">
      <c r="G385" s="172"/>
      <c r="H385" s="167"/>
      <c r="N385" s="172"/>
      <c r="O385" s="168"/>
    </row>
    <row r="386" spans="7:15" ht="14.25" customHeight="1" x14ac:dyDescent="0.2">
      <c r="G386" s="172"/>
      <c r="H386" s="167"/>
      <c r="N386" s="172"/>
      <c r="O386" s="168"/>
    </row>
    <row r="387" spans="7:15" ht="14.25" customHeight="1" x14ac:dyDescent="0.2">
      <c r="G387" s="172"/>
      <c r="H387" s="167"/>
      <c r="N387" s="172"/>
      <c r="O387" s="168"/>
    </row>
    <row r="388" spans="7:15" ht="14.25" customHeight="1" x14ac:dyDescent="0.2">
      <c r="G388" s="172"/>
      <c r="H388" s="167"/>
      <c r="N388" s="172"/>
      <c r="O388" s="168"/>
    </row>
    <row r="389" spans="7:15" ht="14.25" customHeight="1" x14ac:dyDescent="0.2">
      <c r="G389" s="172"/>
      <c r="H389" s="167"/>
      <c r="N389" s="172"/>
      <c r="O389" s="168"/>
    </row>
    <row r="390" spans="7:15" ht="14.25" customHeight="1" x14ac:dyDescent="0.2">
      <c r="G390" s="172"/>
      <c r="H390" s="167"/>
      <c r="N390" s="172"/>
      <c r="O390" s="168"/>
    </row>
    <row r="391" spans="7:15" ht="14.25" customHeight="1" x14ac:dyDescent="0.2">
      <c r="G391" s="172"/>
      <c r="H391" s="167"/>
      <c r="N391" s="172"/>
      <c r="O391" s="168"/>
    </row>
    <row r="392" spans="7:15" ht="14.25" customHeight="1" x14ac:dyDescent="0.2">
      <c r="G392" s="172"/>
      <c r="H392" s="167"/>
      <c r="N392" s="172"/>
      <c r="O392" s="168"/>
    </row>
    <row r="393" spans="7:15" ht="14.25" customHeight="1" x14ac:dyDescent="0.2">
      <c r="G393" s="172"/>
      <c r="H393" s="167"/>
      <c r="N393" s="172"/>
      <c r="O393" s="168"/>
    </row>
    <row r="394" spans="7:15" ht="14.25" customHeight="1" x14ac:dyDescent="0.2">
      <c r="G394" s="172"/>
      <c r="H394" s="167"/>
      <c r="N394" s="172"/>
      <c r="O394" s="168"/>
    </row>
    <row r="395" spans="7:15" ht="14.25" customHeight="1" x14ac:dyDescent="0.2">
      <c r="G395" s="172"/>
      <c r="H395" s="167"/>
      <c r="N395" s="172"/>
      <c r="O395" s="168"/>
    </row>
    <row r="396" spans="7:15" ht="14.25" customHeight="1" x14ac:dyDescent="0.2">
      <c r="G396" s="172"/>
      <c r="H396" s="167"/>
      <c r="N396" s="172"/>
      <c r="O396" s="168"/>
    </row>
    <row r="397" spans="7:15" ht="14.25" customHeight="1" x14ac:dyDescent="0.2">
      <c r="G397" s="172"/>
      <c r="H397" s="167"/>
      <c r="N397" s="172"/>
      <c r="O397" s="168"/>
    </row>
    <row r="398" spans="7:15" ht="14.25" customHeight="1" x14ac:dyDescent="0.2">
      <c r="G398" s="172"/>
      <c r="H398" s="167"/>
      <c r="N398" s="172"/>
      <c r="O398" s="168"/>
    </row>
    <row r="399" spans="7:15" ht="14.25" customHeight="1" x14ac:dyDescent="0.2">
      <c r="G399" s="172"/>
      <c r="H399" s="167"/>
      <c r="N399" s="172"/>
      <c r="O399" s="168"/>
    </row>
    <row r="400" spans="7:15" ht="14.25" customHeight="1" x14ac:dyDescent="0.2">
      <c r="G400" s="172"/>
      <c r="H400" s="167"/>
      <c r="N400" s="172"/>
      <c r="O400" s="168"/>
    </row>
    <row r="401" spans="7:15" ht="14.25" customHeight="1" x14ac:dyDescent="0.2">
      <c r="G401" s="172"/>
      <c r="H401" s="167"/>
      <c r="N401" s="172"/>
      <c r="O401" s="168"/>
    </row>
    <row r="402" spans="7:15" ht="14.25" customHeight="1" x14ac:dyDescent="0.2">
      <c r="G402" s="172"/>
      <c r="H402" s="167"/>
      <c r="N402" s="172"/>
      <c r="O402" s="168"/>
    </row>
    <row r="403" spans="7:15" ht="14.25" customHeight="1" x14ac:dyDescent="0.2">
      <c r="G403" s="172"/>
      <c r="H403" s="167"/>
      <c r="N403" s="172"/>
      <c r="O403" s="168"/>
    </row>
    <row r="404" spans="7:15" ht="14.25" customHeight="1" x14ac:dyDescent="0.2">
      <c r="G404" s="172"/>
      <c r="H404" s="167"/>
      <c r="N404" s="172"/>
      <c r="O404" s="168"/>
    </row>
    <row r="405" spans="7:15" ht="14.25" customHeight="1" x14ac:dyDescent="0.2">
      <c r="G405" s="172"/>
      <c r="H405" s="167"/>
      <c r="N405" s="172"/>
      <c r="O405" s="168"/>
    </row>
    <row r="406" spans="7:15" ht="14.25" customHeight="1" x14ac:dyDescent="0.2">
      <c r="G406" s="172"/>
      <c r="H406" s="167"/>
      <c r="N406" s="172"/>
      <c r="O406" s="168"/>
    </row>
    <row r="407" spans="7:15" ht="14.25" customHeight="1" x14ac:dyDescent="0.2">
      <c r="G407" s="172"/>
      <c r="H407" s="167"/>
      <c r="N407" s="172"/>
      <c r="O407" s="168"/>
    </row>
    <row r="408" spans="7:15" ht="14.25" customHeight="1" x14ac:dyDescent="0.2">
      <c r="G408" s="172"/>
      <c r="H408" s="167"/>
      <c r="N408" s="172"/>
      <c r="O408" s="168"/>
    </row>
    <row r="409" spans="7:15" ht="14.25" customHeight="1" x14ac:dyDescent="0.2">
      <c r="G409" s="172"/>
      <c r="H409" s="167"/>
      <c r="N409" s="172"/>
      <c r="O409" s="168"/>
    </row>
    <row r="410" spans="7:15" ht="14.25" customHeight="1" x14ac:dyDescent="0.2">
      <c r="G410" s="172"/>
      <c r="H410" s="167"/>
      <c r="N410" s="172"/>
      <c r="O410" s="168"/>
    </row>
    <row r="411" spans="7:15" ht="14.25" customHeight="1" x14ac:dyDescent="0.2">
      <c r="G411" s="172"/>
      <c r="H411" s="167"/>
      <c r="N411" s="172"/>
      <c r="O411" s="168"/>
    </row>
    <row r="412" spans="7:15" ht="14.25" customHeight="1" x14ac:dyDescent="0.2">
      <c r="G412" s="172"/>
      <c r="H412" s="167"/>
      <c r="O412" s="168"/>
    </row>
    <row r="413" spans="7:15" ht="14.25" customHeight="1" x14ac:dyDescent="0.2">
      <c r="G413" s="172"/>
      <c r="H413" s="167"/>
      <c r="N413" s="173"/>
      <c r="O413" s="168"/>
    </row>
    <row r="414" spans="7:15" ht="14.25" customHeight="1" x14ac:dyDescent="0.2">
      <c r="H414" s="167"/>
      <c r="N414" s="173"/>
      <c r="O414" s="168"/>
    </row>
    <row r="415" spans="7:15" ht="14.25" customHeight="1" x14ac:dyDescent="0.2">
      <c r="G415" s="173"/>
      <c r="H415" s="167"/>
      <c r="O415" s="168"/>
    </row>
    <row r="416" spans="7:15" ht="14.25" customHeight="1" x14ac:dyDescent="0.2">
      <c r="G416" s="173"/>
      <c r="H416" s="167"/>
      <c r="N416" s="172"/>
      <c r="O416" s="168"/>
    </row>
    <row r="417" spans="6:21" ht="14.25" customHeight="1" x14ac:dyDescent="0.2">
      <c r="H417" s="167"/>
      <c r="N417" s="173"/>
      <c r="O417" s="168"/>
    </row>
    <row r="418" spans="6:21" ht="14.25" customHeight="1" x14ac:dyDescent="0.2">
      <c r="F418" s="167"/>
      <c r="M418" s="172"/>
      <c r="U418" s="168"/>
    </row>
    <row r="419" spans="6:21" ht="14.25" customHeight="1" x14ac:dyDescent="0.2">
      <c r="F419" s="167"/>
      <c r="M419" s="173"/>
      <c r="U419" s="168"/>
    </row>
    <row r="420" spans="6:21" ht="14.25" customHeight="1" x14ac:dyDescent="0.2">
      <c r="F420" s="167"/>
      <c r="U420" s="168"/>
    </row>
    <row r="421" spans="6:21" ht="14.25" customHeight="1" x14ac:dyDescent="0.2">
      <c r="F421" s="167"/>
      <c r="U421" s="168"/>
    </row>
    <row r="422" spans="6:21" ht="14.25" customHeight="1" x14ac:dyDescent="0.2">
      <c r="F422" s="167"/>
      <c r="U422" s="168"/>
    </row>
    <row r="423" spans="6:21" ht="14.25" customHeight="1" x14ac:dyDescent="0.2">
      <c r="F423" s="167"/>
      <c r="U423" s="168"/>
    </row>
    <row r="424" spans="6:21" ht="14.25" customHeight="1" x14ac:dyDescent="0.2">
      <c r="F424" s="167"/>
      <c r="U424" s="168"/>
    </row>
    <row r="425" spans="6:21" ht="14.25" customHeight="1" x14ac:dyDescent="0.2">
      <c r="F425" s="167"/>
      <c r="U425" s="168"/>
    </row>
    <row r="426" spans="6:21" ht="14.25" customHeight="1" x14ac:dyDescent="0.2">
      <c r="F426" s="167"/>
      <c r="U426" s="168"/>
    </row>
    <row r="427" spans="6:21" ht="14.25" customHeight="1" x14ac:dyDescent="0.2">
      <c r="F427" s="167"/>
      <c r="U427" s="168"/>
    </row>
    <row r="428" spans="6:21" ht="14.25" customHeight="1" x14ac:dyDescent="0.2">
      <c r="F428" s="167"/>
      <c r="U428" s="168"/>
    </row>
    <row r="429" spans="6:21" ht="14.25" customHeight="1" x14ac:dyDescent="0.2">
      <c r="F429" s="167"/>
      <c r="U429" s="168"/>
    </row>
    <row r="430" spans="6:21" ht="14.25" customHeight="1" x14ac:dyDescent="0.2">
      <c r="F430" s="167"/>
      <c r="U430" s="168"/>
    </row>
    <row r="431" spans="6:21" ht="14.25" customHeight="1" x14ac:dyDescent="0.2">
      <c r="F431" s="167"/>
      <c r="U431" s="168"/>
    </row>
    <row r="432" spans="6:21" ht="14.25" customHeight="1" x14ac:dyDescent="0.2">
      <c r="F432" s="167"/>
      <c r="U432" s="168"/>
    </row>
    <row r="433" spans="6:21" ht="14.25" customHeight="1" x14ac:dyDescent="0.2">
      <c r="F433" s="167"/>
      <c r="U433" s="168"/>
    </row>
    <row r="434" spans="6:21" ht="14.25" customHeight="1" x14ac:dyDescent="0.2">
      <c r="F434" s="167"/>
      <c r="U434" s="168"/>
    </row>
    <row r="435" spans="6:21" ht="14.25" customHeight="1" x14ac:dyDescent="0.2">
      <c r="F435" s="167"/>
      <c r="U435" s="168"/>
    </row>
    <row r="436" spans="6:21" ht="14.25" customHeight="1" x14ac:dyDescent="0.2">
      <c r="F436" s="167"/>
      <c r="U436" s="168"/>
    </row>
    <row r="437" spans="6:21" ht="14.25" customHeight="1" x14ac:dyDescent="0.2">
      <c r="F437" s="167"/>
      <c r="U437" s="168"/>
    </row>
    <row r="438" spans="6:21" ht="14.25" customHeight="1" x14ac:dyDescent="0.2">
      <c r="F438" s="167"/>
      <c r="U438" s="168"/>
    </row>
    <row r="439" spans="6:21" ht="14.25" customHeight="1" x14ac:dyDescent="0.2">
      <c r="F439" s="167"/>
      <c r="U439" s="168"/>
    </row>
    <row r="440" spans="6:21" ht="14.25" customHeight="1" x14ac:dyDescent="0.2">
      <c r="F440" s="167"/>
      <c r="U440" s="168"/>
    </row>
    <row r="441" spans="6:21" ht="14.25" customHeight="1" x14ac:dyDescent="0.2">
      <c r="F441" s="167"/>
      <c r="U441" s="168"/>
    </row>
    <row r="442" spans="6:21" ht="14.25" customHeight="1" x14ac:dyDescent="0.2">
      <c r="F442" s="167"/>
      <c r="U442" s="168"/>
    </row>
    <row r="443" spans="6:21" ht="14.25" customHeight="1" x14ac:dyDescent="0.2">
      <c r="F443" s="167"/>
      <c r="U443" s="168"/>
    </row>
    <row r="444" spans="6:21" ht="14.25" customHeight="1" x14ac:dyDescent="0.2">
      <c r="F444" s="167"/>
      <c r="U444" s="168"/>
    </row>
    <row r="445" spans="6:21" ht="14.25" customHeight="1" x14ac:dyDescent="0.2">
      <c r="F445" s="167"/>
      <c r="U445" s="168"/>
    </row>
    <row r="446" spans="6:21" ht="14.25" customHeight="1" x14ac:dyDescent="0.2">
      <c r="F446" s="167"/>
      <c r="U446" s="168"/>
    </row>
    <row r="447" spans="6:21" ht="14.25" customHeight="1" x14ac:dyDescent="0.2">
      <c r="F447" s="167"/>
      <c r="U447" s="168"/>
    </row>
    <row r="448" spans="6:21" ht="14.25" customHeight="1" x14ac:dyDescent="0.2">
      <c r="F448" s="167"/>
      <c r="U448" s="168"/>
    </row>
    <row r="449" spans="6:21" ht="14.25" customHeight="1" x14ac:dyDescent="0.2">
      <c r="F449" s="167"/>
      <c r="U449" s="168"/>
    </row>
    <row r="450" spans="6:21" ht="14.25" customHeight="1" x14ac:dyDescent="0.2">
      <c r="F450" s="167"/>
      <c r="U450" s="168"/>
    </row>
    <row r="451" spans="6:21" ht="14.25" customHeight="1" x14ac:dyDescent="0.2">
      <c r="F451" s="167"/>
      <c r="U451" s="168"/>
    </row>
    <row r="452" spans="6:21" ht="14.25" customHeight="1" x14ac:dyDescent="0.2">
      <c r="F452" s="167"/>
      <c r="U452" s="168"/>
    </row>
    <row r="453" spans="6:21" ht="14.25" customHeight="1" x14ac:dyDescent="0.2">
      <c r="F453" s="167"/>
      <c r="U453" s="168"/>
    </row>
    <row r="454" spans="6:21" ht="14.25" customHeight="1" x14ac:dyDescent="0.2">
      <c r="F454" s="167"/>
      <c r="U454" s="168"/>
    </row>
    <row r="455" spans="6:21" ht="14.25" customHeight="1" x14ac:dyDescent="0.2">
      <c r="F455" s="167"/>
      <c r="U455" s="168"/>
    </row>
    <row r="456" spans="6:21" ht="14.25" customHeight="1" x14ac:dyDescent="0.2">
      <c r="F456" s="167"/>
      <c r="U456" s="168"/>
    </row>
    <row r="457" spans="6:21" ht="14.25" customHeight="1" x14ac:dyDescent="0.2">
      <c r="F457" s="167"/>
      <c r="U457" s="168"/>
    </row>
    <row r="458" spans="6:21" ht="14.25" customHeight="1" x14ac:dyDescent="0.2">
      <c r="F458" s="167"/>
      <c r="U458" s="168"/>
    </row>
    <row r="459" spans="6:21" ht="14.25" customHeight="1" x14ac:dyDescent="0.2">
      <c r="F459" s="167"/>
      <c r="U459" s="168"/>
    </row>
    <row r="460" spans="6:21" ht="14.25" customHeight="1" x14ac:dyDescent="0.2">
      <c r="F460" s="167"/>
      <c r="U460" s="168"/>
    </row>
    <row r="461" spans="6:21" ht="14.25" customHeight="1" x14ac:dyDescent="0.2">
      <c r="F461" s="167"/>
      <c r="U461" s="168"/>
    </row>
    <row r="462" spans="6:21" ht="14.25" customHeight="1" x14ac:dyDescent="0.2">
      <c r="F462" s="167"/>
      <c r="U462" s="168"/>
    </row>
    <row r="463" spans="6:21" ht="14.25" customHeight="1" x14ac:dyDescent="0.2">
      <c r="F463" s="167"/>
      <c r="U463" s="168"/>
    </row>
    <row r="464" spans="6:21" ht="14.25" customHeight="1" x14ac:dyDescent="0.2">
      <c r="F464" s="167"/>
      <c r="U464" s="168"/>
    </row>
    <row r="465" spans="6:21" ht="14.25" customHeight="1" x14ac:dyDescent="0.2">
      <c r="F465" s="167"/>
      <c r="U465" s="168"/>
    </row>
    <row r="466" spans="6:21" ht="14.25" customHeight="1" x14ac:dyDescent="0.2">
      <c r="F466" s="167"/>
      <c r="U466" s="168"/>
    </row>
    <row r="467" spans="6:21" ht="14.25" customHeight="1" x14ac:dyDescent="0.2">
      <c r="F467" s="167"/>
      <c r="U467" s="168"/>
    </row>
    <row r="468" spans="6:21" ht="14.25" customHeight="1" x14ac:dyDescent="0.2">
      <c r="F468" s="167"/>
      <c r="U468" s="168"/>
    </row>
    <row r="469" spans="6:21" ht="14.25" customHeight="1" x14ac:dyDescent="0.2">
      <c r="F469" s="167"/>
      <c r="U469" s="168"/>
    </row>
    <row r="470" spans="6:21" ht="14.25" customHeight="1" x14ac:dyDescent="0.2">
      <c r="F470" s="167"/>
      <c r="U470" s="168"/>
    </row>
    <row r="471" spans="6:21" ht="14.25" customHeight="1" x14ac:dyDescent="0.2">
      <c r="F471" s="167"/>
      <c r="U471" s="168"/>
    </row>
    <row r="472" spans="6:21" ht="14.25" customHeight="1" x14ac:dyDescent="0.2">
      <c r="F472" s="167"/>
      <c r="U472" s="168"/>
    </row>
    <row r="473" spans="6:21" ht="14.25" customHeight="1" x14ac:dyDescent="0.2">
      <c r="F473" s="167"/>
      <c r="U473" s="168"/>
    </row>
    <row r="474" spans="6:21" ht="14.25" customHeight="1" x14ac:dyDescent="0.2">
      <c r="F474" s="167"/>
      <c r="U474" s="168"/>
    </row>
    <row r="475" spans="6:21" ht="14.25" customHeight="1" x14ac:dyDescent="0.2">
      <c r="F475" s="167"/>
      <c r="U475" s="168"/>
    </row>
    <row r="476" spans="6:21" ht="14.25" customHeight="1" x14ac:dyDescent="0.2">
      <c r="F476" s="167"/>
      <c r="U476" s="168"/>
    </row>
    <row r="477" spans="6:21" ht="14.25" customHeight="1" x14ac:dyDescent="0.2">
      <c r="F477" s="167"/>
      <c r="U477" s="168"/>
    </row>
    <row r="478" spans="6:21" ht="14.25" customHeight="1" x14ac:dyDescent="0.2">
      <c r="F478" s="167"/>
      <c r="U478" s="168"/>
    </row>
    <row r="479" spans="6:21" ht="14.25" customHeight="1" x14ac:dyDescent="0.2">
      <c r="F479" s="167"/>
      <c r="U479" s="168"/>
    </row>
    <row r="480" spans="6:21" ht="14.25" customHeight="1" x14ac:dyDescent="0.2">
      <c r="F480" s="167"/>
      <c r="U480" s="168"/>
    </row>
    <row r="481" spans="6:21" ht="14.25" customHeight="1" x14ac:dyDescent="0.2">
      <c r="F481" s="167"/>
      <c r="U481" s="168"/>
    </row>
    <row r="482" spans="6:21" ht="14.25" customHeight="1" x14ac:dyDescent="0.2">
      <c r="F482" s="167"/>
      <c r="U482" s="168"/>
    </row>
    <row r="483" spans="6:21" ht="14.25" customHeight="1" x14ac:dyDescent="0.2">
      <c r="F483" s="167"/>
      <c r="U483" s="168"/>
    </row>
    <row r="484" spans="6:21" ht="14.25" customHeight="1" x14ac:dyDescent="0.2">
      <c r="F484" s="167"/>
      <c r="U484" s="168"/>
    </row>
    <row r="485" spans="6:21" ht="14.25" customHeight="1" x14ac:dyDescent="0.2">
      <c r="F485" s="167"/>
      <c r="U485" s="168"/>
    </row>
    <row r="486" spans="6:21" ht="14.25" customHeight="1" x14ac:dyDescent="0.2">
      <c r="F486" s="167"/>
      <c r="U486" s="168"/>
    </row>
    <row r="487" spans="6:21" ht="14.25" customHeight="1" x14ac:dyDescent="0.2">
      <c r="F487" s="167"/>
      <c r="U487" s="168"/>
    </row>
    <row r="488" spans="6:21" ht="14.25" customHeight="1" x14ac:dyDescent="0.2">
      <c r="F488" s="167"/>
      <c r="U488" s="168"/>
    </row>
    <row r="489" spans="6:21" ht="14.25" customHeight="1" x14ac:dyDescent="0.2">
      <c r="F489" s="167"/>
      <c r="U489" s="168"/>
    </row>
    <row r="490" spans="6:21" ht="14.25" customHeight="1" x14ac:dyDescent="0.2">
      <c r="F490" s="167"/>
      <c r="U490" s="168"/>
    </row>
    <row r="491" spans="6:21" ht="14.25" customHeight="1" x14ac:dyDescent="0.2">
      <c r="F491" s="167"/>
      <c r="U491" s="168"/>
    </row>
    <row r="492" spans="6:21" ht="14.25" customHeight="1" x14ac:dyDescent="0.2">
      <c r="F492" s="167"/>
      <c r="U492" s="168"/>
    </row>
    <row r="493" spans="6:21" ht="14.25" customHeight="1" x14ac:dyDescent="0.2">
      <c r="F493" s="167"/>
      <c r="U493" s="168"/>
    </row>
    <row r="494" spans="6:21" ht="14.25" customHeight="1" x14ac:dyDescent="0.2">
      <c r="F494" s="167"/>
      <c r="U494" s="168"/>
    </row>
    <row r="495" spans="6:21" ht="14.25" customHeight="1" x14ac:dyDescent="0.2">
      <c r="F495" s="167"/>
      <c r="U495" s="168"/>
    </row>
    <row r="496" spans="6:21" ht="14.25" customHeight="1" x14ac:dyDescent="0.2">
      <c r="F496" s="167"/>
      <c r="U496" s="168"/>
    </row>
    <row r="497" spans="6:21" ht="14.25" customHeight="1" x14ac:dyDescent="0.2">
      <c r="F497" s="167"/>
      <c r="U497" s="168"/>
    </row>
    <row r="498" spans="6:21" ht="14.25" customHeight="1" x14ac:dyDescent="0.2">
      <c r="F498" s="167"/>
      <c r="U498" s="168"/>
    </row>
    <row r="499" spans="6:21" ht="14.25" customHeight="1" x14ac:dyDescent="0.2">
      <c r="F499" s="167"/>
      <c r="U499" s="168"/>
    </row>
    <row r="500" spans="6:21" ht="14.25" customHeight="1" x14ac:dyDescent="0.2">
      <c r="F500" s="167"/>
      <c r="U500" s="168"/>
    </row>
    <row r="501" spans="6:21" ht="14.25" customHeight="1" x14ac:dyDescent="0.2">
      <c r="F501" s="167"/>
      <c r="U501" s="168"/>
    </row>
    <row r="502" spans="6:21" ht="14.25" customHeight="1" x14ac:dyDescent="0.2">
      <c r="F502" s="167"/>
      <c r="U502" s="168"/>
    </row>
    <row r="503" spans="6:21" ht="14.25" customHeight="1" x14ac:dyDescent="0.2">
      <c r="F503" s="167"/>
      <c r="U503" s="168"/>
    </row>
    <row r="504" spans="6:21" ht="14.25" customHeight="1" x14ac:dyDescent="0.2">
      <c r="F504" s="167"/>
      <c r="U504" s="168"/>
    </row>
    <row r="505" spans="6:21" ht="14.25" customHeight="1" x14ac:dyDescent="0.2">
      <c r="F505" s="167"/>
      <c r="U505" s="168"/>
    </row>
    <row r="506" spans="6:21" ht="14.25" customHeight="1" x14ac:dyDescent="0.2">
      <c r="F506" s="167"/>
      <c r="U506" s="168"/>
    </row>
    <row r="507" spans="6:21" ht="14.25" customHeight="1" x14ac:dyDescent="0.2">
      <c r="F507" s="167"/>
      <c r="U507" s="168"/>
    </row>
    <row r="508" spans="6:21" ht="14.25" customHeight="1" x14ac:dyDescent="0.2">
      <c r="F508" s="167"/>
      <c r="U508" s="168"/>
    </row>
    <row r="509" spans="6:21" ht="14.25" customHeight="1" x14ac:dyDescent="0.2">
      <c r="F509" s="167"/>
      <c r="U509" s="168"/>
    </row>
    <row r="510" spans="6:21" ht="14.25" customHeight="1" x14ac:dyDescent="0.2">
      <c r="F510" s="167"/>
      <c r="U510" s="168"/>
    </row>
    <row r="511" spans="6:21" ht="14.25" customHeight="1" x14ac:dyDescent="0.2">
      <c r="F511" s="167"/>
      <c r="U511" s="168"/>
    </row>
    <row r="512" spans="6:21" ht="14.25" customHeight="1" x14ac:dyDescent="0.2">
      <c r="F512" s="167"/>
      <c r="U512" s="168"/>
    </row>
    <row r="513" spans="6:21" ht="14.25" customHeight="1" x14ac:dyDescent="0.2">
      <c r="F513" s="167"/>
      <c r="U513" s="168"/>
    </row>
    <row r="514" spans="6:21" ht="14.25" customHeight="1" x14ac:dyDescent="0.2">
      <c r="F514" s="167"/>
      <c r="U514" s="168"/>
    </row>
    <row r="515" spans="6:21" ht="14.25" customHeight="1" x14ac:dyDescent="0.2">
      <c r="F515" s="167"/>
      <c r="U515" s="168"/>
    </row>
    <row r="516" spans="6:21" ht="14.25" customHeight="1" x14ac:dyDescent="0.2">
      <c r="F516" s="167"/>
      <c r="U516" s="168"/>
    </row>
    <row r="517" spans="6:21" ht="14.25" customHeight="1" x14ac:dyDescent="0.2">
      <c r="F517" s="167"/>
      <c r="U517" s="168"/>
    </row>
    <row r="518" spans="6:21" ht="14.25" customHeight="1" x14ac:dyDescent="0.2">
      <c r="F518" s="167"/>
      <c r="U518" s="168"/>
    </row>
    <row r="519" spans="6:21" ht="14.25" customHeight="1" x14ac:dyDescent="0.2">
      <c r="F519" s="167"/>
      <c r="U519" s="168"/>
    </row>
    <row r="520" spans="6:21" ht="14.25" customHeight="1" x14ac:dyDescent="0.2">
      <c r="F520" s="167"/>
      <c r="U520" s="168"/>
    </row>
    <row r="521" spans="6:21" ht="14.25" customHeight="1" x14ac:dyDescent="0.2">
      <c r="F521" s="167"/>
      <c r="U521" s="168"/>
    </row>
    <row r="522" spans="6:21" ht="14.25" customHeight="1" x14ac:dyDescent="0.2">
      <c r="F522" s="167"/>
      <c r="U522" s="168"/>
    </row>
    <row r="523" spans="6:21" ht="14.25" customHeight="1" x14ac:dyDescent="0.2">
      <c r="F523" s="167"/>
      <c r="U523" s="168"/>
    </row>
    <row r="524" spans="6:21" ht="14.25" customHeight="1" x14ac:dyDescent="0.2">
      <c r="F524" s="167"/>
      <c r="U524" s="168"/>
    </row>
    <row r="525" spans="6:21" ht="14.25" customHeight="1" x14ac:dyDescent="0.2">
      <c r="F525" s="167"/>
      <c r="U525" s="168"/>
    </row>
    <row r="526" spans="6:21" ht="14.25" customHeight="1" x14ac:dyDescent="0.2">
      <c r="F526" s="167"/>
      <c r="U526" s="168"/>
    </row>
    <row r="527" spans="6:21" ht="14.25" customHeight="1" x14ac:dyDescent="0.2">
      <c r="F527" s="167"/>
      <c r="U527" s="168"/>
    </row>
    <row r="528" spans="6:21" ht="14.25" customHeight="1" x14ac:dyDescent="0.2">
      <c r="F528" s="167"/>
      <c r="U528" s="168"/>
    </row>
    <row r="529" spans="6:21" ht="14.25" customHeight="1" x14ac:dyDescent="0.2">
      <c r="F529" s="167"/>
      <c r="U529" s="168"/>
    </row>
    <row r="530" spans="6:21" ht="14.25" customHeight="1" x14ac:dyDescent="0.2">
      <c r="F530" s="167"/>
      <c r="U530" s="168"/>
    </row>
    <row r="531" spans="6:21" ht="14.25" customHeight="1" x14ac:dyDescent="0.2">
      <c r="F531" s="167"/>
      <c r="U531" s="168"/>
    </row>
    <row r="532" spans="6:21" ht="14.25" customHeight="1" x14ac:dyDescent="0.2">
      <c r="F532" s="167"/>
      <c r="U532" s="168"/>
    </row>
    <row r="533" spans="6:21" ht="14.25" customHeight="1" x14ac:dyDescent="0.2">
      <c r="F533" s="167"/>
      <c r="U533" s="168"/>
    </row>
    <row r="534" spans="6:21" ht="14.25" customHeight="1" x14ac:dyDescent="0.2">
      <c r="F534" s="167"/>
      <c r="U534" s="168"/>
    </row>
    <row r="535" spans="6:21" ht="14.25" customHeight="1" x14ac:dyDescent="0.2">
      <c r="F535" s="167"/>
      <c r="U535" s="168"/>
    </row>
    <row r="536" spans="6:21" ht="14.25" customHeight="1" x14ac:dyDescent="0.2">
      <c r="F536" s="167"/>
      <c r="U536" s="168"/>
    </row>
    <row r="537" spans="6:21" ht="14.25" customHeight="1" x14ac:dyDescent="0.2">
      <c r="F537" s="167"/>
      <c r="U537" s="168"/>
    </row>
    <row r="538" spans="6:21" ht="14.25" customHeight="1" x14ac:dyDescent="0.2">
      <c r="F538" s="167"/>
      <c r="U538" s="168"/>
    </row>
    <row r="539" spans="6:21" ht="14.25" customHeight="1" x14ac:dyDescent="0.2">
      <c r="F539" s="167"/>
      <c r="U539" s="168"/>
    </row>
    <row r="540" spans="6:21" ht="14.25" customHeight="1" x14ac:dyDescent="0.2">
      <c r="F540" s="167"/>
      <c r="U540" s="168"/>
    </row>
    <row r="541" spans="6:21" ht="14.25" customHeight="1" x14ac:dyDescent="0.2">
      <c r="F541" s="167"/>
      <c r="U541" s="168"/>
    </row>
    <row r="542" spans="6:21" ht="14.25" customHeight="1" x14ac:dyDescent="0.2">
      <c r="F542" s="167"/>
      <c r="U542" s="168"/>
    </row>
    <row r="543" spans="6:21" ht="14.25" customHeight="1" x14ac:dyDescent="0.2">
      <c r="F543" s="167"/>
      <c r="U543" s="168"/>
    </row>
    <row r="544" spans="6:21" ht="14.25" customHeight="1" x14ac:dyDescent="0.2">
      <c r="F544" s="167"/>
      <c r="U544" s="168"/>
    </row>
    <row r="545" spans="6:21" ht="14.25" customHeight="1" x14ac:dyDescent="0.2">
      <c r="F545" s="167"/>
      <c r="U545" s="168"/>
    </row>
    <row r="546" spans="6:21" ht="14.25" customHeight="1" x14ac:dyDescent="0.2">
      <c r="F546" s="167"/>
      <c r="U546" s="168"/>
    </row>
    <row r="547" spans="6:21" ht="14.25" customHeight="1" x14ac:dyDescent="0.2">
      <c r="F547" s="167"/>
      <c r="U547" s="168"/>
    </row>
    <row r="548" spans="6:21" ht="14.25" customHeight="1" x14ac:dyDescent="0.2">
      <c r="F548" s="167"/>
      <c r="U548" s="168"/>
    </row>
    <row r="549" spans="6:21" ht="14.25" customHeight="1" x14ac:dyDescent="0.2">
      <c r="F549" s="167"/>
      <c r="U549" s="168"/>
    </row>
    <row r="550" spans="6:21" ht="14.25" customHeight="1" x14ac:dyDescent="0.2">
      <c r="F550" s="167"/>
      <c r="U550" s="168"/>
    </row>
    <row r="551" spans="6:21" ht="14.25" customHeight="1" x14ac:dyDescent="0.2">
      <c r="F551" s="167"/>
      <c r="U551" s="168"/>
    </row>
    <row r="552" spans="6:21" ht="14.25" customHeight="1" x14ac:dyDescent="0.2">
      <c r="F552" s="167"/>
      <c r="U552" s="168"/>
    </row>
    <row r="553" spans="6:21" ht="14.25" customHeight="1" x14ac:dyDescent="0.2">
      <c r="F553" s="167"/>
      <c r="U553" s="168"/>
    </row>
    <row r="554" spans="6:21" ht="14.25" customHeight="1" x14ac:dyDescent="0.2">
      <c r="F554" s="167"/>
      <c r="U554" s="168"/>
    </row>
    <row r="555" spans="6:21" ht="14.25" customHeight="1" x14ac:dyDescent="0.2">
      <c r="F555" s="167"/>
      <c r="U555" s="168"/>
    </row>
    <row r="556" spans="6:21" ht="14.25" customHeight="1" x14ac:dyDescent="0.2">
      <c r="F556" s="167"/>
      <c r="U556" s="168"/>
    </row>
    <row r="557" spans="6:21" ht="14.25" customHeight="1" x14ac:dyDescent="0.2">
      <c r="F557" s="167"/>
      <c r="U557" s="168"/>
    </row>
    <row r="558" spans="6:21" ht="14.25" customHeight="1" x14ac:dyDescent="0.2">
      <c r="F558" s="167"/>
      <c r="U558" s="168"/>
    </row>
    <row r="559" spans="6:21" ht="14.25" customHeight="1" x14ac:dyDescent="0.2">
      <c r="F559" s="167"/>
      <c r="U559" s="168"/>
    </row>
    <row r="560" spans="6:21" ht="14.25" customHeight="1" x14ac:dyDescent="0.2">
      <c r="F560" s="167"/>
      <c r="U560" s="168"/>
    </row>
    <row r="561" spans="6:21" ht="14.25" customHeight="1" x14ac:dyDescent="0.2">
      <c r="F561" s="167"/>
      <c r="U561" s="168"/>
    </row>
    <row r="562" spans="6:21" ht="14.25" customHeight="1" x14ac:dyDescent="0.2">
      <c r="F562" s="167"/>
      <c r="U562" s="168"/>
    </row>
    <row r="563" spans="6:21" ht="14.25" customHeight="1" x14ac:dyDescent="0.2">
      <c r="F563" s="167"/>
      <c r="U563" s="168"/>
    </row>
    <row r="564" spans="6:21" ht="14.25" customHeight="1" x14ac:dyDescent="0.2">
      <c r="F564" s="167"/>
      <c r="U564" s="168"/>
    </row>
    <row r="565" spans="6:21" ht="14.25" customHeight="1" x14ac:dyDescent="0.2">
      <c r="F565" s="167"/>
      <c r="U565" s="168"/>
    </row>
    <row r="566" spans="6:21" ht="14.25" customHeight="1" x14ac:dyDescent="0.2">
      <c r="F566" s="167"/>
      <c r="U566" s="168"/>
    </row>
    <row r="567" spans="6:21" ht="14.25" customHeight="1" x14ac:dyDescent="0.2">
      <c r="F567" s="167"/>
      <c r="U567" s="168"/>
    </row>
    <row r="568" spans="6:21" ht="14.25" customHeight="1" x14ac:dyDescent="0.2">
      <c r="F568" s="167"/>
      <c r="U568" s="168"/>
    </row>
    <row r="569" spans="6:21" ht="14.25" customHeight="1" x14ac:dyDescent="0.2">
      <c r="F569" s="167"/>
      <c r="U569" s="168"/>
    </row>
    <row r="570" spans="6:21" ht="14.25" customHeight="1" x14ac:dyDescent="0.2">
      <c r="F570" s="167"/>
      <c r="U570" s="168"/>
    </row>
    <row r="571" spans="6:21" ht="14.25" customHeight="1" x14ac:dyDescent="0.2">
      <c r="F571" s="167"/>
      <c r="U571" s="168"/>
    </row>
    <row r="572" spans="6:21" ht="14.25" customHeight="1" x14ac:dyDescent="0.2">
      <c r="F572" s="167"/>
      <c r="U572" s="168"/>
    </row>
    <row r="573" spans="6:21" ht="14.25" customHeight="1" x14ac:dyDescent="0.2">
      <c r="F573" s="167"/>
      <c r="U573" s="168"/>
    </row>
    <row r="574" spans="6:21" ht="14.25" customHeight="1" x14ac:dyDescent="0.2">
      <c r="F574" s="167"/>
      <c r="U574" s="168"/>
    </row>
    <row r="575" spans="6:21" ht="14.25" customHeight="1" x14ac:dyDescent="0.2">
      <c r="F575" s="167"/>
      <c r="U575" s="168"/>
    </row>
    <row r="576" spans="6:21" ht="14.25" customHeight="1" x14ac:dyDescent="0.2">
      <c r="F576" s="167"/>
      <c r="U576" s="168"/>
    </row>
    <row r="577" spans="6:21" ht="14.25" customHeight="1" x14ac:dyDescent="0.2">
      <c r="F577" s="167"/>
      <c r="U577" s="168"/>
    </row>
    <row r="578" spans="6:21" ht="14.25" customHeight="1" x14ac:dyDescent="0.2">
      <c r="F578" s="167"/>
      <c r="U578" s="168"/>
    </row>
    <row r="579" spans="6:21" ht="14.25" customHeight="1" x14ac:dyDescent="0.2">
      <c r="F579" s="167"/>
      <c r="U579" s="168"/>
    </row>
    <row r="580" spans="6:21" ht="14.25" customHeight="1" x14ac:dyDescent="0.2">
      <c r="F580" s="167"/>
      <c r="U580" s="168"/>
    </row>
    <row r="581" spans="6:21" ht="14.25" customHeight="1" x14ac:dyDescent="0.2">
      <c r="F581" s="167"/>
      <c r="U581" s="168"/>
    </row>
    <row r="582" spans="6:21" ht="14.25" customHeight="1" x14ac:dyDescent="0.2">
      <c r="F582" s="167"/>
      <c r="U582" s="168"/>
    </row>
    <row r="583" spans="6:21" ht="14.25" customHeight="1" x14ac:dyDescent="0.2">
      <c r="F583" s="167"/>
      <c r="U583" s="168"/>
    </row>
    <row r="584" spans="6:21" ht="14.25" customHeight="1" x14ac:dyDescent="0.2">
      <c r="F584" s="167"/>
      <c r="U584" s="168"/>
    </row>
    <row r="585" spans="6:21" ht="14.25" customHeight="1" x14ac:dyDescent="0.2">
      <c r="F585" s="167"/>
      <c r="U585" s="168"/>
    </row>
    <row r="586" spans="6:21" ht="14.25" customHeight="1" x14ac:dyDescent="0.2">
      <c r="F586" s="167"/>
      <c r="U586" s="168"/>
    </row>
    <row r="587" spans="6:21" ht="14.25" customHeight="1" x14ac:dyDescent="0.2">
      <c r="F587" s="167"/>
      <c r="U587" s="168"/>
    </row>
    <row r="588" spans="6:21" ht="14.25" customHeight="1" x14ac:dyDescent="0.2">
      <c r="F588" s="167"/>
      <c r="U588" s="168"/>
    </row>
    <row r="589" spans="6:21" ht="14.25" customHeight="1" x14ac:dyDescent="0.2">
      <c r="F589" s="167"/>
      <c r="U589" s="168"/>
    </row>
    <row r="590" spans="6:21" ht="14.25" customHeight="1" x14ac:dyDescent="0.2">
      <c r="F590" s="167"/>
      <c r="U590" s="168"/>
    </row>
    <row r="591" spans="6:21" ht="14.25" customHeight="1" x14ac:dyDescent="0.2">
      <c r="F591" s="167"/>
      <c r="U591" s="168"/>
    </row>
    <row r="592" spans="6:21" ht="14.25" customHeight="1" x14ac:dyDescent="0.2">
      <c r="F592" s="167"/>
      <c r="U592" s="168"/>
    </row>
    <row r="593" spans="6:21" ht="14.25" customHeight="1" x14ac:dyDescent="0.2">
      <c r="F593" s="167"/>
      <c r="U593" s="168"/>
    </row>
    <row r="594" spans="6:21" ht="14.25" customHeight="1" x14ac:dyDescent="0.2">
      <c r="F594" s="167"/>
      <c r="U594" s="168"/>
    </row>
    <row r="595" spans="6:21" ht="14.25" customHeight="1" x14ac:dyDescent="0.2">
      <c r="F595" s="167"/>
      <c r="U595" s="168"/>
    </row>
    <row r="596" spans="6:21" ht="14.25" customHeight="1" x14ac:dyDescent="0.2">
      <c r="F596" s="167"/>
      <c r="U596" s="168"/>
    </row>
    <row r="597" spans="6:21" ht="14.25" customHeight="1" x14ac:dyDescent="0.2">
      <c r="F597" s="167"/>
      <c r="U597" s="168"/>
    </row>
    <row r="598" spans="6:21" ht="14.25" customHeight="1" x14ac:dyDescent="0.2">
      <c r="F598" s="167"/>
      <c r="U598" s="168"/>
    </row>
    <row r="599" spans="6:21" ht="14.25" customHeight="1" x14ac:dyDescent="0.2">
      <c r="F599" s="167"/>
      <c r="U599" s="168"/>
    </row>
    <row r="600" spans="6:21" ht="14.25" customHeight="1" x14ac:dyDescent="0.2">
      <c r="F600" s="167"/>
      <c r="U600" s="168"/>
    </row>
    <row r="601" spans="6:21" ht="14.25" customHeight="1" x14ac:dyDescent="0.2">
      <c r="F601" s="167"/>
      <c r="U601" s="168"/>
    </row>
    <row r="602" spans="6:21" ht="14.25" customHeight="1" x14ac:dyDescent="0.2">
      <c r="F602" s="167"/>
      <c r="U602" s="168"/>
    </row>
    <row r="603" spans="6:21" ht="14.25" customHeight="1" x14ac:dyDescent="0.2">
      <c r="F603" s="167"/>
      <c r="U603" s="168"/>
    </row>
    <row r="604" spans="6:21" ht="14.25" customHeight="1" x14ac:dyDescent="0.2">
      <c r="F604" s="167"/>
      <c r="U604" s="168"/>
    </row>
    <row r="605" spans="6:21" ht="14.25" customHeight="1" x14ac:dyDescent="0.2">
      <c r="F605" s="167"/>
      <c r="U605" s="168"/>
    </row>
    <row r="606" spans="6:21" ht="14.25" customHeight="1" x14ac:dyDescent="0.2">
      <c r="F606" s="167"/>
      <c r="U606" s="168"/>
    </row>
    <row r="607" spans="6:21" ht="14.25" customHeight="1" x14ac:dyDescent="0.2">
      <c r="F607" s="167"/>
      <c r="U607" s="168"/>
    </row>
    <row r="608" spans="6:21" ht="14.25" customHeight="1" x14ac:dyDescent="0.2">
      <c r="F608" s="167"/>
      <c r="U608" s="168"/>
    </row>
    <row r="609" spans="6:21" ht="14.25" customHeight="1" x14ac:dyDescent="0.2">
      <c r="F609" s="167"/>
      <c r="U609" s="168"/>
    </row>
    <row r="610" spans="6:21" ht="14.25" customHeight="1" x14ac:dyDescent="0.2">
      <c r="F610" s="167"/>
      <c r="U610" s="168"/>
    </row>
    <row r="611" spans="6:21" ht="14.25" customHeight="1" x14ac:dyDescent="0.2">
      <c r="F611" s="167"/>
      <c r="U611" s="168"/>
    </row>
    <row r="612" spans="6:21" ht="14.25" customHeight="1" x14ac:dyDescent="0.2">
      <c r="F612" s="167"/>
      <c r="U612" s="168"/>
    </row>
    <row r="613" spans="6:21" ht="14.25" customHeight="1" x14ac:dyDescent="0.2">
      <c r="F613" s="167"/>
      <c r="U613" s="168"/>
    </row>
    <row r="614" spans="6:21" ht="14.25" customHeight="1" x14ac:dyDescent="0.2">
      <c r="F614" s="167"/>
      <c r="U614" s="168"/>
    </row>
    <row r="615" spans="6:21" ht="14.25" customHeight="1" x14ac:dyDescent="0.2">
      <c r="F615" s="167"/>
      <c r="U615" s="168"/>
    </row>
    <row r="616" spans="6:21" ht="14.25" customHeight="1" x14ac:dyDescent="0.2">
      <c r="F616" s="167"/>
      <c r="U616" s="168"/>
    </row>
    <row r="617" spans="6:21" ht="14.25" customHeight="1" x14ac:dyDescent="0.2">
      <c r="F617" s="167"/>
      <c r="U617" s="168"/>
    </row>
    <row r="618" spans="6:21" ht="14.25" customHeight="1" x14ac:dyDescent="0.2">
      <c r="F618" s="167"/>
      <c r="U618" s="168"/>
    </row>
    <row r="619" spans="6:21" ht="14.25" customHeight="1" x14ac:dyDescent="0.2">
      <c r="F619" s="167"/>
      <c r="U619" s="168"/>
    </row>
    <row r="620" spans="6:21" ht="14.25" customHeight="1" x14ac:dyDescent="0.2">
      <c r="F620" s="167"/>
      <c r="U620" s="168"/>
    </row>
    <row r="621" spans="6:21" ht="14.25" customHeight="1" x14ac:dyDescent="0.2">
      <c r="F621" s="167"/>
      <c r="U621" s="168"/>
    </row>
    <row r="622" spans="6:21" ht="14.25" customHeight="1" x14ac:dyDescent="0.2">
      <c r="F622" s="167"/>
      <c r="U622" s="168"/>
    </row>
    <row r="623" spans="6:21" ht="14.25" customHeight="1" x14ac:dyDescent="0.2">
      <c r="F623" s="167"/>
      <c r="U623" s="168"/>
    </row>
    <row r="624" spans="6:21" ht="14.25" customHeight="1" x14ac:dyDescent="0.2">
      <c r="F624" s="167"/>
      <c r="U624" s="168"/>
    </row>
    <row r="625" spans="6:21" ht="14.25" customHeight="1" x14ac:dyDescent="0.2">
      <c r="F625" s="167"/>
      <c r="U625" s="168"/>
    </row>
    <row r="626" spans="6:21" ht="14.25" customHeight="1" x14ac:dyDescent="0.2">
      <c r="F626" s="167"/>
      <c r="U626" s="168"/>
    </row>
    <row r="627" spans="6:21" ht="14.25" customHeight="1" x14ac:dyDescent="0.2">
      <c r="F627" s="167"/>
      <c r="U627" s="168"/>
    </row>
    <row r="628" spans="6:21" ht="14.25" customHeight="1" x14ac:dyDescent="0.2">
      <c r="F628" s="167"/>
      <c r="U628" s="168"/>
    </row>
    <row r="629" spans="6:21" ht="14.25" customHeight="1" x14ac:dyDescent="0.2">
      <c r="F629" s="167"/>
      <c r="U629" s="168"/>
    </row>
    <row r="630" spans="6:21" ht="14.25" customHeight="1" x14ac:dyDescent="0.2">
      <c r="F630" s="167"/>
      <c r="U630" s="168"/>
    </row>
    <row r="631" spans="6:21" ht="14.25" customHeight="1" x14ac:dyDescent="0.2">
      <c r="F631" s="167"/>
      <c r="U631" s="168"/>
    </row>
    <row r="632" spans="6:21" ht="14.25" customHeight="1" x14ac:dyDescent="0.2">
      <c r="F632" s="167"/>
      <c r="U632" s="168"/>
    </row>
    <row r="633" spans="6:21" ht="14.25" customHeight="1" x14ac:dyDescent="0.2">
      <c r="F633" s="167"/>
      <c r="U633" s="168"/>
    </row>
    <row r="634" spans="6:21" ht="14.25" customHeight="1" x14ac:dyDescent="0.2">
      <c r="F634" s="167"/>
      <c r="U634" s="168"/>
    </row>
    <row r="635" spans="6:21" ht="14.25" customHeight="1" x14ac:dyDescent="0.2">
      <c r="F635" s="167"/>
      <c r="U635" s="168"/>
    </row>
    <row r="636" spans="6:21" ht="14.25" customHeight="1" x14ac:dyDescent="0.2">
      <c r="F636" s="167"/>
      <c r="U636" s="168"/>
    </row>
    <row r="637" spans="6:21" ht="14.25" customHeight="1" x14ac:dyDescent="0.2">
      <c r="F637" s="167"/>
      <c r="U637" s="168"/>
    </row>
    <row r="638" spans="6:21" ht="14.25" customHeight="1" x14ac:dyDescent="0.2">
      <c r="F638" s="167"/>
      <c r="U638" s="168"/>
    </row>
    <row r="639" spans="6:21" ht="14.25" customHeight="1" x14ac:dyDescent="0.2">
      <c r="F639" s="167"/>
      <c r="U639" s="168"/>
    </row>
    <row r="640" spans="6:21" ht="14.25" customHeight="1" x14ac:dyDescent="0.2">
      <c r="F640" s="167"/>
      <c r="U640" s="168"/>
    </row>
    <row r="641" spans="6:21" ht="14.25" customHeight="1" x14ac:dyDescent="0.2">
      <c r="F641" s="167"/>
      <c r="U641" s="168"/>
    </row>
    <row r="642" spans="6:21" ht="14.25" customHeight="1" x14ac:dyDescent="0.2">
      <c r="F642" s="167"/>
      <c r="U642" s="168"/>
    </row>
    <row r="643" spans="6:21" ht="14.25" customHeight="1" x14ac:dyDescent="0.2">
      <c r="F643" s="167"/>
      <c r="U643" s="168"/>
    </row>
    <row r="644" spans="6:21" ht="14.25" customHeight="1" x14ac:dyDescent="0.2">
      <c r="F644" s="167"/>
      <c r="U644" s="168"/>
    </row>
    <row r="645" spans="6:21" ht="14.25" customHeight="1" x14ac:dyDescent="0.2">
      <c r="F645" s="167"/>
      <c r="U645" s="168"/>
    </row>
    <row r="646" spans="6:21" ht="14.25" customHeight="1" x14ac:dyDescent="0.2">
      <c r="F646" s="167"/>
      <c r="U646" s="168"/>
    </row>
    <row r="647" spans="6:21" ht="14.25" customHeight="1" x14ac:dyDescent="0.2">
      <c r="F647" s="167"/>
      <c r="U647" s="168"/>
    </row>
    <row r="648" spans="6:21" ht="14.25" customHeight="1" x14ac:dyDescent="0.2">
      <c r="F648" s="167"/>
      <c r="U648" s="168"/>
    </row>
    <row r="649" spans="6:21" ht="14.25" customHeight="1" x14ac:dyDescent="0.2">
      <c r="F649" s="167"/>
      <c r="U649" s="168"/>
    </row>
    <row r="650" spans="6:21" ht="14.25" customHeight="1" x14ac:dyDescent="0.2">
      <c r="F650" s="167"/>
      <c r="U650" s="168"/>
    </row>
    <row r="651" spans="6:21" ht="14.25" customHeight="1" x14ac:dyDescent="0.2">
      <c r="F651" s="167"/>
      <c r="U651" s="168"/>
    </row>
    <row r="652" spans="6:21" ht="14.25" customHeight="1" x14ac:dyDescent="0.2">
      <c r="F652" s="167"/>
      <c r="U652" s="168"/>
    </row>
    <row r="653" spans="6:21" ht="14.25" customHeight="1" x14ac:dyDescent="0.2">
      <c r="F653" s="167"/>
      <c r="U653" s="168"/>
    </row>
    <row r="654" spans="6:21" ht="14.25" customHeight="1" x14ac:dyDescent="0.2">
      <c r="F654" s="167"/>
      <c r="U654" s="168"/>
    </row>
    <row r="655" spans="6:21" ht="14.25" customHeight="1" x14ac:dyDescent="0.2">
      <c r="F655" s="167"/>
      <c r="U655" s="168"/>
    </row>
    <row r="656" spans="6:21" ht="14.25" customHeight="1" x14ac:dyDescent="0.2">
      <c r="F656" s="167"/>
      <c r="U656" s="168"/>
    </row>
    <row r="657" spans="6:21" ht="14.25" customHeight="1" x14ac:dyDescent="0.2">
      <c r="F657" s="167"/>
      <c r="U657" s="168"/>
    </row>
    <row r="658" spans="6:21" ht="14.25" customHeight="1" x14ac:dyDescent="0.2">
      <c r="F658" s="167"/>
      <c r="U658" s="168"/>
    </row>
    <row r="659" spans="6:21" ht="14.25" customHeight="1" x14ac:dyDescent="0.2">
      <c r="F659" s="167"/>
      <c r="U659" s="168"/>
    </row>
    <row r="660" spans="6:21" ht="14.25" customHeight="1" x14ac:dyDescent="0.2">
      <c r="F660" s="167"/>
      <c r="U660" s="168"/>
    </row>
    <row r="661" spans="6:21" ht="14.25" customHeight="1" x14ac:dyDescent="0.2">
      <c r="F661" s="167"/>
      <c r="U661" s="168"/>
    </row>
    <row r="662" spans="6:21" ht="14.25" customHeight="1" x14ac:dyDescent="0.2">
      <c r="F662" s="167"/>
      <c r="U662" s="168"/>
    </row>
    <row r="663" spans="6:21" ht="14.25" customHeight="1" x14ac:dyDescent="0.2">
      <c r="F663" s="167"/>
      <c r="U663" s="168"/>
    </row>
    <row r="664" spans="6:21" ht="14.25" customHeight="1" x14ac:dyDescent="0.2">
      <c r="F664" s="167"/>
      <c r="U664" s="168"/>
    </row>
    <row r="665" spans="6:21" ht="14.25" customHeight="1" x14ac:dyDescent="0.2">
      <c r="F665" s="167"/>
      <c r="U665" s="168"/>
    </row>
    <row r="666" spans="6:21" ht="14.25" customHeight="1" x14ac:dyDescent="0.2">
      <c r="F666" s="167"/>
      <c r="U666" s="168"/>
    </row>
    <row r="667" spans="6:21" ht="14.25" customHeight="1" x14ac:dyDescent="0.2">
      <c r="F667" s="167"/>
      <c r="U667" s="168"/>
    </row>
    <row r="668" spans="6:21" ht="14.25" customHeight="1" x14ac:dyDescent="0.2">
      <c r="F668" s="167"/>
      <c r="U668" s="168"/>
    </row>
    <row r="669" spans="6:21" ht="14.25" customHeight="1" x14ac:dyDescent="0.2">
      <c r="F669" s="167"/>
      <c r="U669" s="168"/>
    </row>
    <row r="670" spans="6:21" ht="14.25" customHeight="1" x14ac:dyDescent="0.2">
      <c r="F670" s="167"/>
      <c r="U670" s="168"/>
    </row>
    <row r="671" spans="6:21" ht="14.25" customHeight="1" x14ac:dyDescent="0.2">
      <c r="F671" s="167"/>
      <c r="U671" s="168"/>
    </row>
    <row r="672" spans="6:21" ht="14.25" customHeight="1" x14ac:dyDescent="0.2">
      <c r="F672" s="167"/>
      <c r="U672" s="168"/>
    </row>
    <row r="673" spans="6:21" ht="14.25" customHeight="1" x14ac:dyDescent="0.2">
      <c r="F673" s="167"/>
      <c r="U673" s="168"/>
    </row>
    <row r="674" spans="6:21" ht="14.25" customHeight="1" x14ac:dyDescent="0.2">
      <c r="F674" s="167"/>
      <c r="U674" s="168"/>
    </row>
    <row r="675" spans="6:21" ht="14.25" customHeight="1" x14ac:dyDescent="0.2">
      <c r="F675" s="167"/>
      <c r="U675" s="168"/>
    </row>
    <row r="676" spans="6:21" ht="14.25" customHeight="1" x14ac:dyDescent="0.2">
      <c r="F676" s="167"/>
      <c r="U676" s="168"/>
    </row>
    <row r="677" spans="6:21" ht="14.25" customHeight="1" x14ac:dyDescent="0.2">
      <c r="F677" s="167"/>
      <c r="U677" s="168"/>
    </row>
    <row r="678" spans="6:21" ht="14.25" customHeight="1" x14ac:dyDescent="0.2">
      <c r="F678" s="167"/>
      <c r="U678" s="168"/>
    </row>
    <row r="679" spans="6:21" ht="14.25" customHeight="1" x14ac:dyDescent="0.2">
      <c r="F679" s="167"/>
      <c r="U679" s="168"/>
    </row>
    <row r="680" spans="6:21" ht="14.25" customHeight="1" x14ac:dyDescent="0.2">
      <c r="F680" s="167"/>
      <c r="U680" s="168"/>
    </row>
    <row r="681" spans="6:21" ht="14.25" customHeight="1" x14ac:dyDescent="0.2">
      <c r="F681" s="167"/>
      <c r="U681" s="168"/>
    </row>
    <row r="682" spans="6:21" ht="14.25" customHeight="1" x14ac:dyDescent="0.2">
      <c r="F682" s="167"/>
      <c r="U682" s="168"/>
    </row>
    <row r="683" spans="6:21" ht="14.25" customHeight="1" x14ac:dyDescent="0.2">
      <c r="F683" s="167"/>
      <c r="U683" s="168"/>
    </row>
    <row r="684" spans="6:21" ht="14.25" customHeight="1" x14ac:dyDescent="0.2">
      <c r="F684" s="167"/>
      <c r="U684" s="168"/>
    </row>
    <row r="685" spans="6:21" ht="14.25" customHeight="1" x14ac:dyDescent="0.2">
      <c r="F685" s="167"/>
      <c r="U685" s="168"/>
    </row>
    <row r="686" spans="6:21" ht="14.25" customHeight="1" x14ac:dyDescent="0.2">
      <c r="F686" s="167"/>
      <c r="U686" s="168"/>
    </row>
    <row r="687" spans="6:21" ht="14.25" customHeight="1" x14ac:dyDescent="0.2">
      <c r="F687" s="167"/>
      <c r="U687" s="168"/>
    </row>
    <row r="688" spans="6:21" ht="14.25" customHeight="1" x14ac:dyDescent="0.2">
      <c r="F688" s="167"/>
      <c r="U688" s="168"/>
    </row>
    <row r="689" spans="6:21" ht="14.25" customHeight="1" x14ac:dyDescent="0.2">
      <c r="F689" s="167"/>
      <c r="U689" s="168"/>
    </row>
    <row r="690" spans="6:21" ht="14.25" customHeight="1" x14ac:dyDescent="0.2">
      <c r="F690" s="167"/>
      <c r="U690" s="168"/>
    </row>
    <row r="691" spans="6:21" ht="14.25" customHeight="1" x14ac:dyDescent="0.2">
      <c r="F691" s="167"/>
      <c r="U691" s="168"/>
    </row>
    <row r="692" spans="6:21" ht="14.25" customHeight="1" x14ac:dyDescent="0.2">
      <c r="F692" s="167"/>
      <c r="U692" s="168"/>
    </row>
    <row r="693" spans="6:21" ht="14.25" customHeight="1" x14ac:dyDescent="0.2">
      <c r="F693" s="167"/>
      <c r="U693" s="168"/>
    </row>
    <row r="694" spans="6:21" ht="14.25" customHeight="1" x14ac:dyDescent="0.2">
      <c r="F694" s="167"/>
      <c r="U694" s="168"/>
    </row>
    <row r="695" spans="6:21" ht="14.25" customHeight="1" x14ac:dyDescent="0.2">
      <c r="F695" s="167"/>
      <c r="U695" s="168"/>
    </row>
    <row r="696" spans="6:21" ht="14.25" customHeight="1" x14ac:dyDescent="0.2">
      <c r="F696" s="167"/>
      <c r="U696" s="168"/>
    </row>
    <row r="697" spans="6:21" ht="14.25" customHeight="1" x14ac:dyDescent="0.2">
      <c r="F697" s="167"/>
      <c r="U697" s="168"/>
    </row>
    <row r="698" spans="6:21" ht="14.25" customHeight="1" x14ac:dyDescent="0.2">
      <c r="F698" s="167"/>
      <c r="U698" s="168"/>
    </row>
    <row r="699" spans="6:21" ht="14.25" customHeight="1" x14ac:dyDescent="0.2">
      <c r="F699" s="167"/>
      <c r="U699" s="168"/>
    </row>
    <row r="700" spans="6:21" ht="14.25" customHeight="1" x14ac:dyDescent="0.2">
      <c r="F700" s="167"/>
      <c r="U700" s="168"/>
    </row>
    <row r="701" spans="6:21" ht="14.25" customHeight="1" x14ac:dyDescent="0.2">
      <c r="F701" s="167"/>
      <c r="U701" s="168"/>
    </row>
    <row r="702" spans="6:21" ht="14.25" customHeight="1" x14ac:dyDescent="0.2">
      <c r="F702" s="167"/>
      <c r="U702" s="168"/>
    </row>
    <row r="703" spans="6:21" ht="14.25" customHeight="1" x14ac:dyDescent="0.2">
      <c r="F703" s="167"/>
      <c r="U703" s="168"/>
    </row>
    <row r="704" spans="6:21" ht="14.25" customHeight="1" x14ac:dyDescent="0.2">
      <c r="F704" s="167"/>
      <c r="U704" s="168"/>
    </row>
    <row r="705" spans="6:21" ht="14.25" customHeight="1" x14ac:dyDescent="0.2">
      <c r="F705" s="167"/>
      <c r="U705" s="168"/>
    </row>
    <row r="706" spans="6:21" ht="14.25" customHeight="1" x14ac:dyDescent="0.2">
      <c r="F706" s="167"/>
      <c r="U706" s="168"/>
    </row>
    <row r="707" spans="6:21" ht="14.25" customHeight="1" x14ac:dyDescent="0.2">
      <c r="F707" s="167"/>
      <c r="U707" s="168"/>
    </row>
    <row r="708" spans="6:21" ht="14.25" customHeight="1" x14ac:dyDescent="0.2">
      <c r="F708" s="167"/>
      <c r="U708" s="168"/>
    </row>
    <row r="709" spans="6:21" ht="14.25" customHeight="1" x14ac:dyDescent="0.2">
      <c r="F709" s="167"/>
      <c r="U709" s="168"/>
    </row>
    <row r="710" spans="6:21" ht="14.25" customHeight="1" x14ac:dyDescent="0.2">
      <c r="F710" s="167"/>
      <c r="U710" s="168"/>
    </row>
    <row r="711" spans="6:21" ht="14.25" customHeight="1" x14ac:dyDescent="0.2">
      <c r="F711" s="167"/>
      <c r="U711" s="168"/>
    </row>
    <row r="712" spans="6:21" ht="14.25" customHeight="1" x14ac:dyDescent="0.2">
      <c r="F712" s="167"/>
      <c r="U712" s="168"/>
    </row>
    <row r="713" spans="6:21" ht="14.25" customHeight="1" x14ac:dyDescent="0.2">
      <c r="F713" s="167"/>
      <c r="U713" s="168"/>
    </row>
    <row r="714" spans="6:21" ht="14.25" customHeight="1" x14ac:dyDescent="0.2">
      <c r="F714" s="167"/>
      <c r="U714" s="168"/>
    </row>
    <row r="715" spans="6:21" ht="14.25" customHeight="1" x14ac:dyDescent="0.2">
      <c r="F715" s="167"/>
      <c r="U715" s="168"/>
    </row>
    <row r="716" spans="6:21" ht="14.25" customHeight="1" x14ac:dyDescent="0.2">
      <c r="F716" s="167"/>
      <c r="U716" s="168"/>
    </row>
    <row r="717" spans="6:21" ht="14.25" customHeight="1" x14ac:dyDescent="0.2">
      <c r="F717" s="167"/>
      <c r="U717" s="168"/>
    </row>
    <row r="718" spans="6:21" ht="14.25" customHeight="1" x14ac:dyDescent="0.2">
      <c r="F718" s="167"/>
      <c r="U718" s="168"/>
    </row>
    <row r="719" spans="6:21" ht="14.25" customHeight="1" x14ac:dyDescent="0.2">
      <c r="F719" s="167"/>
      <c r="U719" s="168"/>
    </row>
    <row r="720" spans="6:21" ht="14.25" customHeight="1" x14ac:dyDescent="0.2">
      <c r="F720" s="167"/>
      <c r="U720" s="168"/>
    </row>
    <row r="721" spans="6:21" ht="14.25" customHeight="1" x14ac:dyDescent="0.2">
      <c r="F721" s="167"/>
      <c r="U721" s="168"/>
    </row>
    <row r="722" spans="6:21" ht="14.25" customHeight="1" x14ac:dyDescent="0.2">
      <c r="F722" s="167"/>
      <c r="U722" s="168"/>
    </row>
    <row r="723" spans="6:21" ht="14.25" customHeight="1" x14ac:dyDescent="0.2">
      <c r="F723" s="167"/>
      <c r="U723" s="168"/>
    </row>
    <row r="724" spans="6:21" ht="14.25" customHeight="1" x14ac:dyDescent="0.2">
      <c r="F724" s="167"/>
      <c r="U724" s="168"/>
    </row>
    <row r="725" spans="6:21" ht="14.25" customHeight="1" x14ac:dyDescent="0.2">
      <c r="F725" s="167"/>
      <c r="U725" s="168"/>
    </row>
    <row r="726" spans="6:21" ht="14.25" customHeight="1" x14ac:dyDescent="0.2">
      <c r="F726" s="167"/>
      <c r="U726" s="168"/>
    </row>
    <row r="727" spans="6:21" ht="14.25" customHeight="1" x14ac:dyDescent="0.2">
      <c r="F727" s="167"/>
      <c r="U727" s="168"/>
    </row>
    <row r="728" spans="6:21" ht="14.25" customHeight="1" x14ac:dyDescent="0.2">
      <c r="F728" s="167"/>
      <c r="U728" s="168"/>
    </row>
    <row r="729" spans="6:21" ht="14.25" customHeight="1" x14ac:dyDescent="0.2">
      <c r="F729" s="167"/>
      <c r="U729" s="168"/>
    </row>
    <row r="730" spans="6:21" ht="14.25" customHeight="1" x14ac:dyDescent="0.2">
      <c r="F730" s="167"/>
      <c r="U730" s="168"/>
    </row>
    <row r="731" spans="6:21" ht="14.25" customHeight="1" x14ac:dyDescent="0.2">
      <c r="F731" s="167"/>
      <c r="U731" s="168"/>
    </row>
    <row r="732" spans="6:21" ht="14.25" customHeight="1" x14ac:dyDescent="0.2">
      <c r="F732" s="167"/>
      <c r="U732" s="168"/>
    </row>
    <row r="733" spans="6:21" ht="14.25" customHeight="1" x14ac:dyDescent="0.2">
      <c r="F733" s="167"/>
      <c r="U733" s="168"/>
    </row>
    <row r="734" spans="6:21" ht="14.25" customHeight="1" x14ac:dyDescent="0.2">
      <c r="F734" s="167"/>
      <c r="U734" s="168"/>
    </row>
    <row r="735" spans="6:21" ht="14.25" customHeight="1" x14ac:dyDescent="0.2">
      <c r="F735" s="167"/>
      <c r="U735" s="168"/>
    </row>
    <row r="736" spans="6:21" ht="14.25" customHeight="1" x14ac:dyDescent="0.2">
      <c r="F736" s="167"/>
      <c r="U736" s="168"/>
    </row>
    <row r="737" spans="6:21" ht="14.25" customHeight="1" x14ac:dyDescent="0.2">
      <c r="F737" s="167"/>
      <c r="U737" s="168"/>
    </row>
    <row r="738" spans="6:21" ht="14.25" customHeight="1" x14ac:dyDescent="0.2">
      <c r="F738" s="167"/>
      <c r="U738" s="168"/>
    </row>
    <row r="739" spans="6:21" ht="14.25" customHeight="1" x14ac:dyDescent="0.2">
      <c r="F739" s="167"/>
      <c r="U739" s="168"/>
    </row>
    <row r="740" spans="6:21" ht="14.25" customHeight="1" x14ac:dyDescent="0.2">
      <c r="F740" s="167"/>
      <c r="U740" s="168"/>
    </row>
    <row r="741" spans="6:21" ht="14.25" customHeight="1" x14ac:dyDescent="0.2">
      <c r="F741" s="167"/>
      <c r="U741" s="168"/>
    </row>
    <row r="742" spans="6:21" ht="14.25" customHeight="1" x14ac:dyDescent="0.2">
      <c r="F742" s="167"/>
      <c r="U742" s="168"/>
    </row>
    <row r="743" spans="6:21" ht="14.25" customHeight="1" x14ac:dyDescent="0.2">
      <c r="F743" s="167"/>
      <c r="U743" s="168"/>
    </row>
    <row r="744" spans="6:21" ht="14.25" customHeight="1" x14ac:dyDescent="0.2">
      <c r="F744" s="167"/>
      <c r="U744" s="168"/>
    </row>
    <row r="745" spans="6:21" ht="14.25" customHeight="1" x14ac:dyDescent="0.2">
      <c r="F745" s="167"/>
      <c r="U745" s="168"/>
    </row>
    <row r="746" spans="6:21" ht="14.25" customHeight="1" x14ac:dyDescent="0.2">
      <c r="F746" s="167"/>
      <c r="U746" s="168"/>
    </row>
    <row r="747" spans="6:21" ht="14.25" customHeight="1" x14ac:dyDescent="0.2">
      <c r="F747" s="167"/>
      <c r="U747" s="168"/>
    </row>
    <row r="748" spans="6:21" ht="14.25" customHeight="1" x14ac:dyDescent="0.2">
      <c r="F748" s="167"/>
      <c r="U748" s="168"/>
    </row>
    <row r="749" spans="6:21" ht="14.25" customHeight="1" x14ac:dyDescent="0.2">
      <c r="F749" s="167"/>
      <c r="U749" s="168"/>
    </row>
    <row r="750" spans="6:21" ht="14.25" customHeight="1" x14ac:dyDescent="0.2">
      <c r="F750" s="167"/>
      <c r="U750" s="168"/>
    </row>
    <row r="751" spans="6:21" ht="14.25" customHeight="1" x14ac:dyDescent="0.2">
      <c r="F751" s="167"/>
      <c r="U751" s="168"/>
    </row>
    <row r="752" spans="6:21" ht="14.25" customHeight="1" x14ac:dyDescent="0.2">
      <c r="F752" s="167"/>
      <c r="U752" s="168"/>
    </row>
    <row r="753" spans="6:21" ht="14.25" customHeight="1" x14ac:dyDescent="0.2">
      <c r="F753" s="167"/>
      <c r="U753" s="168"/>
    </row>
    <row r="754" spans="6:21" ht="14.25" customHeight="1" x14ac:dyDescent="0.2">
      <c r="F754" s="167"/>
      <c r="U754" s="168"/>
    </row>
    <row r="755" spans="6:21" ht="14.25" customHeight="1" x14ac:dyDescent="0.2">
      <c r="F755" s="167"/>
      <c r="U755" s="168"/>
    </row>
    <row r="756" spans="6:21" ht="14.25" customHeight="1" x14ac:dyDescent="0.2">
      <c r="F756" s="167"/>
      <c r="U756" s="168"/>
    </row>
    <row r="757" spans="6:21" ht="14.25" customHeight="1" x14ac:dyDescent="0.2">
      <c r="F757" s="167"/>
      <c r="U757" s="168"/>
    </row>
    <row r="758" spans="6:21" ht="14.25" customHeight="1" x14ac:dyDescent="0.2">
      <c r="F758" s="167"/>
      <c r="U758" s="168"/>
    </row>
    <row r="759" spans="6:21" ht="14.25" customHeight="1" x14ac:dyDescent="0.2">
      <c r="F759" s="167"/>
      <c r="U759" s="168"/>
    </row>
    <row r="760" spans="6:21" ht="14.25" customHeight="1" x14ac:dyDescent="0.2">
      <c r="F760" s="167"/>
      <c r="U760" s="168"/>
    </row>
    <row r="761" spans="6:21" ht="14.25" customHeight="1" x14ac:dyDescent="0.2">
      <c r="F761" s="167"/>
      <c r="U761" s="168"/>
    </row>
    <row r="762" spans="6:21" ht="14.25" customHeight="1" x14ac:dyDescent="0.2">
      <c r="F762" s="167"/>
      <c r="U762" s="168"/>
    </row>
    <row r="763" spans="6:21" ht="14.25" customHeight="1" x14ac:dyDescent="0.2">
      <c r="F763" s="167"/>
      <c r="U763" s="168"/>
    </row>
    <row r="764" spans="6:21" ht="14.25" customHeight="1" x14ac:dyDescent="0.2">
      <c r="F764" s="167"/>
      <c r="U764" s="168"/>
    </row>
    <row r="765" spans="6:21" ht="14.25" customHeight="1" x14ac:dyDescent="0.2">
      <c r="F765" s="167"/>
      <c r="U765" s="168"/>
    </row>
    <row r="766" spans="6:21" ht="14.25" customHeight="1" x14ac:dyDescent="0.2">
      <c r="F766" s="167"/>
      <c r="U766" s="168"/>
    </row>
    <row r="767" spans="6:21" ht="14.25" customHeight="1" x14ac:dyDescent="0.2">
      <c r="F767" s="167"/>
      <c r="U767" s="168"/>
    </row>
    <row r="768" spans="6:21" ht="14.25" customHeight="1" x14ac:dyDescent="0.2">
      <c r="F768" s="167"/>
      <c r="U768" s="168"/>
    </row>
    <row r="769" spans="6:21" ht="14.25" customHeight="1" x14ac:dyDescent="0.2">
      <c r="F769" s="167"/>
      <c r="U769" s="168"/>
    </row>
    <row r="770" spans="6:21" ht="14.25" customHeight="1" x14ac:dyDescent="0.2">
      <c r="F770" s="167"/>
      <c r="U770" s="168"/>
    </row>
    <row r="771" spans="6:21" ht="14.25" customHeight="1" x14ac:dyDescent="0.2">
      <c r="F771" s="167"/>
      <c r="U771" s="168"/>
    </row>
    <row r="772" spans="6:21" ht="14.25" customHeight="1" x14ac:dyDescent="0.2">
      <c r="F772" s="167"/>
      <c r="U772" s="168"/>
    </row>
    <row r="773" spans="6:21" ht="14.25" customHeight="1" x14ac:dyDescent="0.2">
      <c r="F773" s="167"/>
      <c r="U773" s="168"/>
    </row>
    <row r="774" spans="6:21" ht="14.25" customHeight="1" x14ac:dyDescent="0.2">
      <c r="F774" s="167"/>
      <c r="U774" s="168"/>
    </row>
    <row r="775" spans="6:21" ht="14.25" customHeight="1" x14ac:dyDescent="0.2">
      <c r="F775" s="167"/>
      <c r="U775" s="168"/>
    </row>
    <row r="776" spans="6:21" ht="14.25" customHeight="1" x14ac:dyDescent="0.2">
      <c r="F776" s="167"/>
      <c r="U776" s="168"/>
    </row>
    <row r="777" spans="6:21" ht="14.25" customHeight="1" x14ac:dyDescent="0.2">
      <c r="F777" s="167"/>
      <c r="U777" s="168"/>
    </row>
    <row r="778" spans="6:21" ht="14.25" customHeight="1" x14ac:dyDescent="0.2">
      <c r="F778" s="167"/>
      <c r="U778" s="168"/>
    </row>
    <row r="779" spans="6:21" ht="14.25" customHeight="1" x14ac:dyDescent="0.2">
      <c r="F779" s="167"/>
      <c r="U779" s="168"/>
    </row>
    <row r="780" spans="6:21" ht="14.25" customHeight="1" x14ac:dyDescent="0.2">
      <c r="F780" s="167"/>
      <c r="U780" s="168"/>
    </row>
    <row r="781" spans="6:21" ht="14.25" customHeight="1" x14ac:dyDescent="0.2">
      <c r="F781" s="167"/>
      <c r="U781" s="168"/>
    </row>
    <row r="782" spans="6:21" ht="14.25" customHeight="1" x14ac:dyDescent="0.2">
      <c r="F782" s="167"/>
      <c r="U782" s="168"/>
    </row>
    <row r="783" spans="6:21" ht="14.25" customHeight="1" x14ac:dyDescent="0.2">
      <c r="F783" s="167"/>
      <c r="U783" s="168"/>
    </row>
    <row r="784" spans="6:21" ht="14.25" customHeight="1" x14ac:dyDescent="0.2">
      <c r="F784" s="167"/>
      <c r="U784" s="168"/>
    </row>
    <row r="785" spans="6:21" ht="14.25" customHeight="1" x14ac:dyDescent="0.2">
      <c r="F785" s="167"/>
      <c r="U785" s="168"/>
    </row>
    <row r="786" spans="6:21" ht="14.25" customHeight="1" x14ac:dyDescent="0.2">
      <c r="F786" s="167"/>
      <c r="U786" s="168"/>
    </row>
    <row r="787" spans="6:21" ht="14.25" customHeight="1" x14ac:dyDescent="0.2">
      <c r="F787" s="167"/>
      <c r="U787" s="168"/>
    </row>
    <row r="788" spans="6:21" ht="14.25" customHeight="1" x14ac:dyDescent="0.2">
      <c r="F788" s="167"/>
      <c r="U788" s="168"/>
    </row>
    <row r="789" spans="6:21" ht="14.25" customHeight="1" x14ac:dyDescent="0.2">
      <c r="F789" s="167"/>
      <c r="U789" s="168"/>
    </row>
    <row r="790" spans="6:21" ht="14.25" customHeight="1" x14ac:dyDescent="0.2">
      <c r="F790" s="167"/>
      <c r="U790" s="168"/>
    </row>
    <row r="791" spans="6:21" ht="14.25" customHeight="1" x14ac:dyDescent="0.2">
      <c r="F791" s="167"/>
      <c r="U791" s="168"/>
    </row>
    <row r="792" spans="6:21" ht="14.25" customHeight="1" x14ac:dyDescent="0.2">
      <c r="F792" s="167"/>
      <c r="U792" s="168"/>
    </row>
    <row r="793" spans="6:21" ht="14.25" customHeight="1" x14ac:dyDescent="0.2">
      <c r="F793" s="167"/>
      <c r="U793" s="168"/>
    </row>
    <row r="794" spans="6:21" ht="14.25" customHeight="1" x14ac:dyDescent="0.2">
      <c r="F794" s="167"/>
      <c r="U794" s="168"/>
    </row>
    <row r="795" spans="6:21" ht="14.25" customHeight="1" x14ac:dyDescent="0.2">
      <c r="F795" s="167"/>
      <c r="U795" s="168"/>
    </row>
    <row r="796" spans="6:21" ht="14.25" customHeight="1" x14ac:dyDescent="0.2">
      <c r="F796" s="167"/>
      <c r="U796" s="168"/>
    </row>
    <row r="797" spans="6:21" ht="14.25" customHeight="1" x14ac:dyDescent="0.2">
      <c r="F797" s="167"/>
      <c r="U797" s="168"/>
    </row>
    <row r="798" spans="6:21" ht="14.25" customHeight="1" x14ac:dyDescent="0.2">
      <c r="F798" s="167"/>
      <c r="U798" s="168"/>
    </row>
    <row r="799" spans="6:21" ht="14.25" customHeight="1" x14ac:dyDescent="0.2">
      <c r="F799" s="167"/>
      <c r="U799" s="168"/>
    </row>
    <row r="800" spans="6:21" ht="14.25" customHeight="1" x14ac:dyDescent="0.2">
      <c r="F800" s="167"/>
      <c r="U800" s="168"/>
    </row>
    <row r="801" spans="6:21" ht="14.25" customHeight="1" x14ac:dyDescent="0.2">
      <c r="F801" s="167"/>
      <c r="U801" s="168"/>
    </row>
    <row r="802" spans="6:21" ht="14.25" customHeight="1" x14ac:dyDescent="0.2">
      <c r="F802" s="167"/>
      <c r="U802" s="168"/>
    </row>
    <row r="803" spans="6:21" ht="14.25" customHeight="1" x14ac:dyDescent="0.2">
      <c r="F803" s="167"/>
      <c r="U803" s="168"/>
    </row>
    <row r="804" spans="6:21" ht="14.25" customHeight="1" x14ac:dyDescent="0.2">
      <c r="F804" s="167"/>
      <c r="U804" s="168"/>
    </row>
    <row r="805" spans="6:21" ht="14.25" customHeight="1" x14ac:dyDescent="0.2">
      <c r="F805" s="167"/>
      <c r="U805" s="168"/>
    </row>
    <row r="806" spans="6:21" ht="14.25" customHeight="1" x14ac:dyDescent="0.2">
      <c r="F806" s="167"/>
      <c r="U806" s="168"/>
    </row>
    <row r="807" spans="6:21" ht="14.25" customHeight="1" x14ac:dyDescent="0.2">
      <c r="F807" s="167"/>
      <c r="U807" s="168"/>
    </row>
    <row r="808" spans="6:21" ht="14.25" customHeight="1" x14ac:dyDescent="0.2">
      <c r="F808" s="167"/>
      <c r="U808" s="168"/>
    </row>
    <row r="809" spans="6:21" ht="14.25" customHeight="1" x14ac:dyDescent="0.2">
      <c r="F809" s="167"/>
      <c r="U809" s="168"/>
    </row>
    <row r="810" spans="6:21" ht="14.25" customHeight="1" x14ac:dyDescent="0.2">
      <c r="F810" s="167"/>
      <c r="U810" s="168"/>
    </row>
    <row r="811" spans="6:21" ht="14.25" customHeight="1" x14ac:dyDescent="0.2">
      <c r="F811" s="167"/>
      <c r="U811" s="168"/>
    </row>
    <row r="812" spans="6:21" ht="14.25" customHeight="1" x14ac:dyDescent="0.2">
      <c r="F812" s="167"/>
      <c r="U812" s="168"/>
    </row>
    <row r="813" spans="6:21" ht="14.25" customHeight="1" x14ac:dyDescent="0.2">
      <c r="F813" s="167"/>
      <c r="U813" s="168"/>
    </row>
    <row r="814" spans="6:21" ht="14.25" customHeight="1" x14ac:dyDescent="0.2">
      <c r="F814" s="167"/>
      <c r="U814" s="168"/>
    </row>
    <row r="815" spans="6:21" ht="14.25" customHeight="1" x14ac:dyDescent="0.2">
      <c r="F815" s="167"/>
      <c r="U815" s="168"/>
    </row>
    <row r="816" spans="6:21" ht="14.25" customHeight="1" x14ac:dyDescent="0.2">
      <c r="F816" s="167"/>
      <c r="U816" s="168"/>
    </row>
    <row r="817" spans="6:21" ht="14.25" customHeight="1" x14ac:dyDescent="0.2">
      <c r="F817" s="167"/>
      <c r="U817" s="168"/>
    </row>
    <row r="818" spans="6:21" ht="14.25" customHeight="1" x14ac:dyDescent="0.2">
      <c r="F818" s="167"/>
      <c r="U818" s="168"/>
    </row>
    <row r="819" spans="6:21" ht="14.25" customHeight="1" x14ac:dyDescent="0.2">
      <c r="F819" s="167"/>
      <c r="U819" s="168"/>
    </row>
    <row r="820" spans="6:21" ht="14.25" customHeight="1" x14ac:dyDescent="0.2">
      <c r="F820" s="167"/>
      <c r="U820" s="168"/>
    </row>
    <row r="821" spans="6:21" ht="14.25" customHeight="1" x14ac:dyDescent="0.2">
      <c r="F821" s="167"/>
      <c r="U821" s="168"/>
    </row>
    <row r="822" spans="6:21" ht="14.25" customHeight="1" x14ac:dyDescent="0.2">
      <c r="F822" s="167"/>
      <c r="U822" s="168"/>
    </row>
    <row r="823" spans="6:21" ht="14.25" customHeight="1" x14ac:dyDescent="0.2">
      <c r="F823" s="167"/>
      <c r="U823" s="168"/>
    </row>
    <row r="824" spans="6:21" ht="14.25" customHeight="1" x14ac:dyDescent="0.2">
      <c r="F824" s="167"/>
      <c r="U824" s="168"/>
    </row>
    <row r="825" spans="6:21" ht="14.25" customHeight="1" x14ac:dyDescent="0.2">
      <c r="F825" s="167"/>
      <c r="U825" s="168"/>
    </row>
    <row r="826" spans="6:21" ht="14.25" customHeight="1" x14ac:dyDescent="0.2">
      <c r="F826" s="167"/>
      <c r="U826" s="168"/>
    </row>
    <row r="827" spans="6:21" ht="14.25" customHeight="1" x14ac:dyDescent="0.2">
      <c r="F827" s="167"/>
      <c r="U827" s="168"/>
    </row>
    <row r="828" spans="6:21" ht="14.25" customHeight="1" x14ac:dyDescent="0.2">
      <c r="F828" s="167"/>
      <c r="U828" s="168"/>
    </row>
    <row r="829" spans="6:21" ht="14.25" customHeight="1" x14ac:dyDescent="0.2">
      <c r="F829" s="167"/>
      <c r="U829" s="168"/>
    </row>
    <row r="830" spans="6:21" ht="14.25" customHeight="1" x14ac:dyDescent="0.2">
      <c r="F830" s="167"/>
      <c r="U830" s="168"/>
    </row>
    <row r="831" spans="6:21" ht="14.25" customHeight="1" x14ac:dyDescent="0.2">
      <c r="F831" s="167"/>
      <c r="U831" s="168"/>
    </row>
    <row r="832" spans="6:21" ht="14.25" customHeight="1" x14ac:dyDescent="0.2">
      <c r="F832" s="167"/>
      <c r="U832" s="168"/>
    </row>
    <row r="833" spans="6:21" ht="14.25" customHeight="1" x14ac:dyDescent="0.2">
      <c r="F833" s="167"/>
      <c r="U833" s="168"/>
    </row>
    <row r="834" spans="6:21" ht="14.25" customHeight="1" x14ac:dyDescent="0.2">
      <c r="F834" s="167"/>
      <c r="U834" s="168"/>
    </row>
    <row r="835" spans="6:21" ht="14.25" customHeight="1" x14ac:dyDescent="0.2">
      <c r="F835" s="167"/>
      <c r="U835" s="168"/>
    </row>
    <row r="836" spans="6:21" ht="14.25" customHeight="1" x14ac:dyDescent="0.2">
      <c r="F836" s="167"/>
      <c r="U836" s="168"/>
    </row>
    <row r="837" spans="6:21" ht="14.25" customHeight="1" x14ac:dyDescent="0.2">
      <c r="F837" s="167"/>
      <c r="U837" s="168"/>
    </row>
    <row r="838" spans="6:21" ht="14.25" customHeight="1" x14ac:dyDescent="0.2">
      <c r="F838" s="167"/>
      <c r="U838" s="168"/>
    </row>
    <row r="839" spans="6:21" ht="14.25" customHeight="1" x14ac:dyDescent="0.2">
      <c r="F839" s="167"/>
      <c r="U839" s="168"/>
    </row>
    <row r="840" spans="6:21" ht="14.25" customHeight="1" x14ac:dyDescent="0.2">
      <c r="F840" s="167"/>
      <c r="U840" s="168"/>
    </row>
    <row r="841" spans="6:21" ht="14.25" customHeight="1" x14ac:dyDescent="0.2">
      <c r="F841" s="167"/>
      <c r="U841" s="168"/>
    </row>
    <row r="842" spans="6:21" ht="14.25" customHeight="1" x14ac:dyDescent="0.2">
      <c r="F842" s="167"/>
      <c r="U842" s="168"/>
    </row>
    <row r="843" spans="6:21" ht="14.25" customHeight="1" x14ac:dyDescent="0.2">
      <c r="F843" s="167"/>
      <c r="U843" s="168"/>
    </row>
    <row r="844" spans="6:21" ht="14.25" customHeight="1" x14ac:dyDescent="0.2">
      <c r="F844" s="167"/>
      <c r="U844" s="168"/>
    </row>
    <row r="845" spans="6:21" ht="14.25" customHeight="1" x14ac:dyDescent="0.2">
      <c r="F845" s="167"/>
      <c r="U845" s="168"/>
    </row>
    <row r="846" spans="6:21" ht="14.25" customHeight="1" x14ac:dyDescent="0.2">
      <c r="F846" s="167"/>
      <c r="U846" s="168"/>
    </row>
    <row r="847" spans="6:21" ht="14.25" customHeight="1" x14ac:dyDescent="0.2">
      <c r="F847" s="167"/>
      <c r="U847" s="168"/>
    </row>
    <row r="848" spans="6:21" ht="14.25" customHeight="1" x14ac:dyDescent="0.2">
      <c r="F848" s="167"/>
      <c r="U848" s="168"/>
    </row>
    <row r="849" spans="6:21" ht="14.25" customHeight="1" x14ac:dyDescent="0.2">
      <c r="F849" s="167"/>
      <c r="U849" s="168"/>
    </row>
    <row r="850" spans="6:21" ht="14.25" customHeight="1" x14ac:dyDescent="0.2">
      <c r="F850" s="167"/>
      <c r="U850" s="168"/>
    </row>
    <row r="851" spans="6:21" ht="14.25" customHeight="1" x14ac:dyDescent="0.2">
      <c r="F851" s="167"/>
      <c r="U851" s="168"/>
    </row>
    <row r="852" spans="6:21" ht="14.25" customHeight="1" x14ac:dyDescent="0.2">
      <c r="F852" s="167"/>
      <c r="U852" s="168"/>
    </row>
    <row r="853" spans="6:21" ht="14.25" customHeight="1" x14ac:dyDescent="0.2">
      <c r="F853" s="167"/>
      <c r="U853" s="168"/>
    </row>
    <row r="854" spans="6:21" ht="14.25" customHeight="1" x14ac:dyDescent="0.2">
      <c r="F854" s="167"/>
      <c r="U854" s="168"/>
    </row>
    <row r="855" spans="6:21" ht="14.25" customHeight="1" x14ac:dyDescent="0.2">
      <c r="F855" s="167"/>
      <c r="U855" s="168"/>
    </row>
    <row r="856" spans="6:21" ht="14.25" customHeight="1" x14ac:dyDescent="0.2">
      <c r="F856" s="167"/>
      <c r="U856" s="168"/>
    </row>
    <row r="857" spans="6:21" ht="14.25" customHeight="1" x14ac:dyDescent="0.2">
      <c r="F857" s="167"/>
      <c r="U857" s="168"/>
    </row>
    <row r="858" spans="6:21" ht="14.25" customHeight="1" x14ac:dyDescent="0.2">
      <c r="F858" s="167"/>
      <c r="U858" s="168"/>
    </row>
    <row r="859" spans="6:21" ht="14.25" customHeight="1" x14ac:dyDescent="0.2">
      <c r="F859" s="167"/>
      <c r="U859" s="168"/>
    </row>
    <row r="860" spans="6:21" ht="14.25" customHeight="1" x14ac:dyDescent="0.2">
      <c r="F860" s="167"/>
      <c r="U860" s="168"/>
    </row>
    <row r="861" spans="6:21" ht="14.25" customHeight="1" x14ac:dyDescent="0.2">
      <c r="F861" s="167"/>
      <c r="U861" s="168"/>
    </row>
    <row r="862" spans="6:21" ht="14.25" customHeight="1" x14ac:dyDescent="0.2">
      <c r="F862" s="167"/>
      <c r="U862" s="168"/>
    </row>
    <row r="863" spans="6:21" ht="14.25" customHeight="1" x14ac:dyDescent="0.2">
      <c r="F863" s="167"/>
      <c r="U863" s="168"/>
    </row>
    <row r="864" spans="6:21" ht="14.25" customHeight="1" x14ac:dyDescent="0.2">
      <c r="F864" s="167"/>
      <c r="U864" s="168"/>
    </row>
    <row r="865" spans="6:21" ht="14.25" customHeight="1" x14ac:dyDescent="0.2">
      <c r="F865" s="167"/>
      <c r="U865" s="168"/>
    </row>
    <row r="866" spans="6:21" ht="14.25" customHeight="1" x14ac:dyDescent="0.2">
      <c r="F866" s="167"/>
      <c r="U866" s="168"/>
    </row>
    <row r="867" spans="6:21" ht="14.25" customHeight="1" x14ac:dyDescent="0.2">
      <c r="F867" s="167"/>
      <c r="U867" s="168"/>
    </row>
    <row r="868" spans="6:21" ht="14.25" customHeight="1" x14ac:dyDescent="0.2">
      <c r="F868" s="167"/>
      <c r="U868" s="168"/>
    </row>
    <row r="869" spans="6:21" ht="14.25" customHeight="1" x14ac:dyDescent="0.2">
      <c r="F869" s="167"/>
      <c r="U869" s="168"/>
    </row>
    <row r="870" spans="6:21" ht="14.25" customHeight="1" x14ac:dyDescent="0.2">
      <c r="F870" s="167"/>
      <c r="U870" s="168"/>
    </row>
    <row r="871" spans="6:21" ht="14.25" customHeight="1" x14ac:dyDescent="0.2">
      <c r="F871" s="167"/>
      <c r="U871" s="168"/>
    </row>
    <row r="872" spans="6:21" ht="14.25" customHeight="1" x14ac:dyDescent="0.2">
      <c r="F872" s="167"/>
      <c r="U872" s="168"/>
    </row>
    <row r="873" spans="6:21" ht="14.25" customHeight="1" x14ac:dyDescent="0.2">
      <c r="F873" s="167"/>
      <c r="U873" s="168"/>
    </row>
    <row r="874" spans="6:21" ht="14.25" customHeight="1" x14ac:dyDescent="0.2">
      <c r="F874" s="167"/>
      <c r="U874" s="168"/>
    </row>
    <row r="875" spans="6:21" ht="14.25" customHeight="1" x14ac:dyDescent="0.2">
      <c r="F875" s="167"/>
      <c r="U875" s="168"/>
    </row>
    <row r="876" spans="6:21" ht="14.25" customHeight="1" x14ac:dyDescent="0.2">
      <c r="F876" s="167"/>
      <c r="U876" s="168"/>
    </row>
    <row r="877" spans="6:21" ht="14.25" customHeight="1" x14ac:dyDescent="0.2">
      <c r="F877" s="167"/>
      <c r="U877" s="168"/>
    </row>
    <row r="878" spans="6:21" ht="14.25" customHeight="1" x14ac:dyDescent="0.2">
      <c r="F878" s="167"/>
      <c r="U878" s="168"/>
    </row>
    <row r="879" spans="6:21" ht="14.25" customHeight="1" x14ac:dyDescent="0.2">
      <c r="F879" s="167"/>
      <c r="U879" s="168"/>
    </row>
    <row r="880" spans="6:21" ht="14.25" customHeight="1" x14ac:dyDescent="0.2">
      <c r="F880" s="167"/>
      <c r="U880" s="168"/>
    </row>
    <row r="881" spans="6:21" ht="14.25" customHeight="1" x14ac:dyDescent="0.2">
      <c r="F881" s="167"/>
      <c r="U881" s="168"/>
    </row>
    <row r="882" spans="6:21" ht="14.25" customHeight="1" x14ac:dyDescent="0.2">
      <c r="F882" s="167"/>
      <c r="U882" s="168"/>
    </row>
    <row r="883" spans="6:21" ht="14.25" customHeight="1" x14ac:dyDescent="0.2">
      <c r="F883" s="167"/>
      <c r="U883" s="168"/>
    </row>
    <row r="884" spans="6:21" ht="14.25" customHeight="1" x14ac:dyDescent="0.2">
      <c r="F884" s="167"/>
      <c r="U884" s="168"/>
    </row>
    <row r="885" spans="6:21" ht="14.25" customHeight="1" x14ac:dyDescent="0.2">
      <c r="F885" s="167"/>
      <c r="U885" s="168"/>
    </row>
    <row r="886" spans="6:21" ht="14.25" customHeight="1" x14ac:dyDescent="0.2">
      <c r="F886" s="167"/>
      <c r="U886" s="168"/>
    </row>
    <row r="887" spans="6:21" ht="14.25" customHeight="1" x14ac:dyDescent="0.2">
      <c r="F887" s="167"/>
      <c r="U887" s="168"/>
    </row>
    <row r="888" spans="6:21" ht="14.25" customHeight="1" x14ac:dyDescent="0.2">
      <c r="F888" s="167"/>
      <c r="U888" s="168"/>
    </row>
    <row r="889" spans="6:21" ht="14.25" customHeight="1" x14ac:dyDescent="0.2">
      <c r="F889" s="167"/>
      <c r="U889" s="168"/>
    </row>
    <row r="890" spans="6:21" ht="14.25" customHeight="1" x14ac:dyDescent="0.2">
      <c r="F890" s="167"/>
      <c r="U890" s="168"/>
    </row>
    <row r="891" spans="6:21" ht="14.25" customHeight="1" x14ac:dyDescent="0.2">
      <c r="F891" s="167"/>
      <c r="U891" s="168"/>
    </row>
    <row r="892" spans="6:21" ht="14.25" customHeight="1" x14ac:dyDescent="0.2">
      <c r="F892" s="167"/>
      <c r="U892" s="168"/>
    </row>
    <row r="893" spans="6:21" ht="14.25" customHeight="1" x14ac:dyDescent="0.2">
      <c r="F893" s="167"/>
      <c r="U893" s="168"/>
    </row>
    <row r="894" spans="6:21" ht="14.25" customHeight="1" x14ac:dyDescent="0.2">
      <c r="F894" s="167"/>
      <c r="U894" s="168"/>
    </row>
    <row r="895" spans="6:21" ht="14.25" customHeight="1" x14ac:dyDescent="0.2">
      <c r="F895" s="167"/>
      <c r="U895" s="168"/>
    </row>
    <row r="896" spans="6:21" ht="14.25" customHeight="1" x14ac:dyDescent="0.2">
      <c r="F896" s="167"/>
      <c r="U896" s="168"/>
    </row>
    <row r="897" spans="6:21" ht="14.25" customHeight="1" x14ac:dyDescent="0.2">
      <c r="F897" s="167"/>
      <c r="U897" s="168"/>
    </row>
    <row r="898" spans="6:21" ht="14.25" customHeight="1" x14ac:dyDescent="0.2">
      <c r="F898" s="167"/>
      <c r="U898" s="168"/>
    </row>
    <row r="899" spans="6:21" ht="14.25" customHeight="1" x14ac:dyDescent="0.2">
      <c r="F899" s="167"/>
      <c r="U899" s="168"/>
    </row>
    <row r="900" spans="6:21" ht="14.25" customHeight="1" x14ac:dyDescent="0.2">
      <c r="F900" s="167"/>
      <c r="U900" s="168"/>
    </row>
    <row r="901" spans="6:21" ht="14.25" customHeight="1" x14ac:dyDescent="0.2">
      <c r="F901" s="167"/>
      <c r="U901" s="168"/>
    </row>
    <row r="902" spans="6:21" ht="14.25" customHeight="1" x14ac:dyDescent="0.2">
      <c r="F902" s="167"/>
      <c r="U902" s="168"/>
    </row>
    <row r="903" spans="6:21" ht="14.25" customHeight="1" x14ac:dyDescent="0.2">
      <c r="F903" s="167"/>
      <c r="U903" s="168"/>
    </row>
    <row r="904" spans="6:21" ht="14.25" customHeight="1" x14ac:dyDescent="0.2">
      <c r="F904" s="167"/>
      <c r="U904" s="168"/>
    </row>
    <row r="905" spans="6:21" ht="14.25" customHeight="1" x14ac:dyDescent="0.2">
      <c r="F905" s="167"/>
      <c r="U905" s="168"/>
    </row>
    <row r="906" spans="6:21" ht="14.25" customHeight="1" x14ac:dyDescent="0.2">
      <c r="F906" s="167"/>
      <c r="U906" s="168"/>
    </row>
    <row r="907" spans="6:21" ht="14.25" customHeight="1" x14ac:dyDescent="0.2">
      <c r="F907" s="167"/>
      <c r="U907" s="168"/>
    </row>
    <row r="908" spans="6:21" ht="14.25" customHeight="1" x14ac:dyDescent="0.2">
      <c r="F908" s="167"/>
      <c r="U908" s="168"/>
    </row>
    <row r="909" spans="6:21" ht="14.25" customHeight="1" x14ac:dyDescent="0.2">
      <c r="F909" s="167"/>
      <c r="U909" s="168"/>
    </row>
    <row r="910" spans="6:21" ht="14.25" customHeight="1" x14ac:dyDescent="0.2">
      <c r="F910" s="167"/>
      <c r="U910" s="168"/>
    </row>
    <row r="911" spans="6:21" ht="14.25" customHeight="1" x14ac:dyDescent="0.2">
      <c r="F911" s="167"/>
      <c r="U911" s="168"/>
    </row>
    <row r="912" spans="6:21" ht="14.25" customHeight="1" x14ac:dyDescent="0.2">
      <c r="F912" s="167"/>
      <c r="U912" s="168"/>
    </row>
    <row r="913" spans="6:21" ht="14.25" customHeight="1" x14ac:dyDescent="0.2">
      <c r="F913" s="167"/>
      <c r="U913" s="168"/>
    </row>
    <row r="914" spans="6:21" ht="14.25" customHeight="1" x14ac:dyDescent="0.2">
      <c r="F914" s="167"/>
      <c r="U914" s="168"/>
    </row>
    <row r="915" spans="6:21" ht="14.25" customHeight="1" x14ac:dyDescent="0.2">
      <c r="F915" s="167"/>
      <c r="U915" s="168"/>
    </row>
    <row r="916" spans="6:21" ht="14.25" customHeight="1" x14ac:dyDescent="0.2">
      <c r="F916" s="167"/>
      <c r="U916" s="168"/>
    </row>
    <row r="917" spans="6:21" ht="14.25" customHeight="1" x14ac:dyDescent="0.2">
      <c r="F917" s="167"/>
      <c r="U917" s="168"/>
    </row>
    <row r="918" spans="6:21" ht="14.25" customHeight="1" x14ac:dyDescent="0.2">
      <c r="F918" s="167"/>
      <c r="U918" s="168"/>
    </row>
    <row r="919" spans="6:21" ht="14.25" customHeight="1" x14ac:dyDescent="0.2">
      <c r="F919" s="167"/>
      <c r="U919" s="168"/>
    </row>
    <row r="920" spans="6:21" ht="14.25" customHeight="1" x14ac:dyDescent="0.2">
      <c r="F920" s="167"/>
      <c r="U920" s="168"/>
    </row>
    <row r="921" spans="6:21" ht="14.25" customHeight="1" x14ac:dyDescent="0.2">
      <c r="F921" s="167"/>
      <c r="U921" s="168"/>
    </row>
    <row r="922" spans="6:21" ht="14.25" customHeight="1" x14ac:dyDescent="0.2">
      <c r="F922" s="167"/>
      <c r="U922" s="168"/>
    </row>
    <row r="923" spans="6:21" ht="14.25" customHeight="1" x14ac:dyDescent="0.2">
      <c r="F923" s="167"/>
      <c r="U923" s="168"/>
    </row>
    <row r="924" spans="6:21" ht="14.25" customHeight="1" x14ac:dyDescent="0.2">
      <c r="F924" s="167"/>
      <c r="U924" s="168"/>
    </row>
    <row r="925" spans="6:21" ht="14.25" customHeight="1" x14ac:dyDescent="0.2">
      <c r="F925" s="167"/>
      <c r="U925" s="168"/>
    </row>
    <row r="926" spans="6:21" ht="14.25" customHeight="1" x14ac:dyDescent="0.2">
      <c r="F926" s="167"/>
      <c r="U926" s="168"/>
    </row>
    <row r="927" spans="6:21" ht="14.25" customHeight="1" x14ac:dyDescent="0.2">
      <c r="F927" s="167"/>
      <c r="U927" s="168"/>
    </row>
    <row r="928" spans="6:21" ht="14.25" customHeight="1" x14ac:dyDescent="0.2">
      <c r="F928" s="167"/>
      <c r="U928" s="168"/>
    </row>
    <row r="929" spans="6:21" ht="14.25" customHeight="1" x14ac:dyDescent="0.2">
      <c r="F929" s="167"/>
      <c r="U929" s="168"/>
    </row>
    <row r="930" spans="6:21" ht="14.25" customHeight="1" x14ac:dyDescent="0.2">
      <c r="F930" s="167"/>
      <c r="U930" s="168"/>
    </row>
    <row r="931" spans="6:21" ht="14.25" customHeight="1" x14ac:dyDescent="0.2">
      <c r="F931" s="167"/>
      <c r="U931" s="168"/>
    </row>
    <row r="932" spans="6:21" ht="14.25" customHeight="1" x14ac:dyDescent="0.2">
      <c r="F932" s="167"/>
      <c r="U932" s="168"/>
    </row>
    <row r="933" spans="6:21" ht="14.25" customHeight="1" x14ac:dyDescent="0.2">
      <c r="F933" s="167"/>
      <c r="U933" s="168"/>
    </row>
    <row r="934" spans="6:21" ht="14.25" customHeight="1" x14ac:dyDescent="0.2">
      <c r="F934" s="167"/>
      <c r="U934" s="168"/>
    </row>
    <row r="935" spans="6:21" ht="14.25" customHeight="1" x14ac:dyDescent="0.2">
      <c r="F935" s="167"/>
      <c r="U935" s="168"/>
    </row>
    <row r="936" spans="6:21" ht="14.25" customHeight="1" x14ac:dyDescent="0.2">
      <c r="F936" s="167"/>
      <c r="U936" s="168"/>
    </row>
    <row r="937" spans="6:21" ht="14.25" customHeight="1" x14ac:dyDescent="0.2">
      <c r="F937" s="167"/>
      <c r="U937" s="168"/>
    </row>
    <row r="938" spans="6:21" ht="14.25" customHeight="1" x14ac:dyDescent="0.2">
      <c r="F938" s="167"/>
      <c r="U938" s="168"/>
    </row>
    <row r="939" spans="6:21" ht="14.25" customHeight="1" x14ac:dyDescent="0.2">
      <c r="F939" s="167"/>
      <c r="U939" s="168"/>
    </row>
    <row r="940" spans="6:21" ht="14.25" customHeight="1" x14ac:dyDescent="0.2">
      <c r="F940" s="167"/>
      <c r="U940" s="168"/>
    </row>
    <row r="941" spans="6:21" ht="14.25" customHeight="1" x14ac:dyDescent="0.2">
      <c r="F941" s="167"/>
      <c r="U941" s="168"/>
    </row>
    <row r="942" spans="6:21" ht="14.25" customHeight="1" x14ac:dyDescent="0.2">
      <c r="F942" s="167"/>
      <c r="U942" s="168"/>
    </row>
    <row r="943" spans="6:21" ht="14.25" customHeight="1" x14ac:dyDescent="0.2">
      <c r="F943" s="167"/>
      <c r="U943" s="168"/>
    </row>
    <row r="944" spans="6:21" ht="14.25" customHeight="1" x14ac:dyDescent="0.2">
      <c r="F944" s="167"/>
      <c r="U944" s="168"/>
    </row>
    <row r="945" spans="6:21" ht="14.25" customHeight="1" x14ac:dyDescent="0.2">
      <c r="F945" s="167"/>
      <c r="U945" s="168"/>
    </row>
    <row r="946" spans="6:21" ht="14.25" customHeight="1" x14ac:dyDescent="0.2">
      <c r="F946" s="167"/>
      <c r="U946" s="168"/>
    </row>
    <row r="947" spans="6:21" ht="14.25" customHeight="1" x14ac:dyDescent="0.2">
      <c r="F947" s="167"/>
      <c r="U947" s="168"/>
    </row>
    <row r="948" spans="6:21" ht="14.25" customHeight="1" x14ac:dyDescent="0.2">
      <c r="F948" s="167"/>
      <c r="U948" s="168"/>
    </row>
    <row r="949" spans="6:21" ht="14.25" customHeight="1" x14ac:dyDescent="0.2">
      <c r="F949" s="167"/>
      <c r="U949" s="168"/>
    </row>
    <row r="950" spans="6:21" ht="14.25" customHeight="1" x14ac:dyDescent="0.2">
      <c r="F950" s="167"/>
      <c r="U950" s="168"/>
    </row>
    <row r="951" spans="6:21" ht="14.25" customHeight="1" x14ac:dyDescent="0.2">
      <c r="F951" s="167"/>
      <c r="U951" s="168"/>
    </row>
    <row r="952" spans="6:21" ht="14.25" customHeight="1" x14ac:dyDescent="0.2">
      <c r="F952" s="167"/>
      <c r="U952" s="168"/>
    </row>
    <row r="953" spans="6:21" ht="14.25" customHeight="1" x14ac:dyDescent="0.2">
      <c r="F953" s="167"/>
      <c r="U953" s="168"/>
    </row>
    <row r="954" spans="6:21" ht="14.25" customHeight="1" x14ac:dyDescent="0.2">
      <c r="F954" s="167"/>
      <c r="U954" s="168"/>
    </row>
    <row r="955" spans="6:21" ht="14.25" customHeight="1" x14ac:dyDescent="0.2">
      <c r="F955" s="167"/>
      <c r="U955" s="168"/>
    </row>
    <row r="956" spans="6:21" ht="14.25" customHeight="1" x14ac:dyDescent="0.2">
      <c r="F956" s="167"/>
      <c r="U956" s="168"/>
    </row>
    <row r="957" spans="6:21" ht="14.25" customHeight="1" x14ac:dyDescent="0.2">
      <c r="F957" s="167"/>
      <c r="U957" s="168"/>
    </row>
    <row r="958" spans="6:21" ht="14.25" customHeight="1" x14ac:dyDescent="0.2">
      <c r="F958" s="167"/>
      <c r="U958" s="168"/>
    </row>
    <row r="959" spans="6:21" ht="14.25" customHeight="1" x14ac:dyDescent="0.2">
      <c r="F959" s="167"/>
      <c r="U959" s="168"/>
    </row>
    <row r="960" spans="6:21" ht="14.25" customHeight="1" x14ac:dyDescent="0.2">
      <c r="F960" s="167"/>
      <c r="U960" s="168"/>
    </row>
    <row r="961" spans="6:21" ht="14.25" customHeight="1" x14ac:dyDescent="0.2">
      <c r="F961" s="167"/>
      <c r="U961" s="168"/>
    </row>
    <row r="962" spans="6:21" ht="14.25" customHeight="1" x14ac:dyDescent="0.2">
      <c r="F962" s="167"/>
      <c r="U962" s="168"/>
    </row>
    <row r="963" spans="6:21" ht="14.25" customHeight="1" x14ac:dyDescent="0.2">
      <c r="F963" s="167"/>
      <c r="U963" s="168"/>
    </row>
    <row r="964" spans="6:21" ht="14.25" customHeight="1" x14ac:dyDescent="0.2">
      <c r="F964" s="167"/>
      <c r="U964" s="168"/>
    </row>
    <row r="965" spans="6:21" ht="14.25" customHeight="1" x14ac:dyDescent="0.2">
      <c r="F965" s="167"/>
      <c r="U965" s="168"/>
    </row>
    <row r="966" spans="6:21" ht="14.25" customHeight="1" x14ac:dyDescent="0.2">
      <c r="F966" s="167"/>
      <c r="U966" s="168"/>
    </row>
    <row r="967" spans="6:21" ht="14.25" customHeight="1" x14ac:dyDescent="0.2">
      <c r="F967" s="167"/>
      <c r="U967" s="168"/>
    </row>
    <row r="968" spans="6:21" ht="14.25" customHeight="1" x14ac:dyDescent="0.2">
      <c r="F968" s="167"/>
      <c r="U968" s="168"/>
    </row>
    <row r="969" spans="6:21" ht="14.25" customHeight="1" x14ac:dyDescent="0.2">
      <c r="F969" s="167"/>
      <c r="U969" s="168"/>
    </row>
    <row r="970" spans="6:21" ht="14.25" customHeight="1" x14ac:dyDescent="0.2">
      <c r="F970" s="167"/>
      <c r="U970" s="168"/>
    </row>
    <row r="971" spans="6:21" ht="14.25" customHeight="1" x14ac:dyDescent="0.2">
      <c r="F971" s="167"/>
      <c r="U971" s="168"/>
    </row>
    <row r="972" spans="6:21" ht="14.25" customHeight="1" x14ac:dyDescent="0.2">
      <c r="F972" s="167"/>
      <c r="U972" s="168"/>
    </row>
    <row r="973" spans="6:21" ht="14.25" customHeight="1" x14ac:dyDescent="0.2">
      <c r="F973" s="167"/>
      <c r="U973" s="168"/>
    </row>
    <row r="974" spans="6:21" ht="14.25" customHeight="1" x14ac:dyDescent="0.2">
      <c r="F974" s="167"/>
      <c r="U974" s="168"/>
    </row>
    <row r="975" spans="6:21" ht="14.25" customHeight="1" x14ac:dyDescent="0.2">
      <c r="F975" s="167"/>
      <c r="U975" s="168"/>
    </row>
    <row r="976" spans="6:21" ht="14.25" customHeight="1" x14ac:dyDescent="0.2">
      <c r="F976" s="167"/>
      <c r="U976" s="168"/>
    </row>
    <row r="977" spans="6:21" ht="14.25" customHeight="1" x14ac:dyDescent="0.2">
      <c r="F977" s="167"/>
      <c r="U977" s="168"/>
    </row>
    <row r="978" spans="6:21" ht="14.25" customHeight="1" x14ac:dyDescent="0.2">
      <c r="F978" s="167"/>
      <c r="U978" s="168"/>
    </row>
    <row r="979" spans="6:21" ht="14.25" customHeight="1" x14ac:dyDescent="0.2">
      <c r="F979" s="167"/>
      <c r="U979" s="168"/>
    </row>
    <row r="980" spans="6:21" ht="14.25" customHeight="1" x14ac:dyDescent="0.2">
      <c r="F980" s="167"/>
      <c r="U980" s="168"/>
    </row>
    <row r="981" spans="6:21" ht="14.25" customHeight="1" x14ac:dyDescent="0.2">
      <c r="F981" s="167"/>
      <c r="U981" s="168"/>
    </row>
    <row r="982" spans="6:21" ht="14.25" customHeight="1" x14ac:dyDescent="0.2">
      <c r="F982" s="167"/>
      <c r="U982" s="168"/>
    </row>
    <row r="983" spans="6:21" ht="14.25" customHeight="1" x14ac:dyDescent="0.2">
      <c r="F983" s="167"/>
      <c r="U983" s="168"/>
    </row>
    <row r="984" spans="6:21" ht="14.25" customHeight="1" x14ac:dyDescent="0.2">
      <c r="F984" s="167"/>
      <c r="U984" s="168"/>
    </row>
    <row r="985" spans="6:21" ht="14.25" customHeight="1" x14ac:dyDescent="0.2">
      <c r="F985" s="167"/>
      <c r="U985" s="168"/>
    </row>
    <row r="986" spans="6:21" ht="14.25" customHeight="1" x14ac:dyDescent="0.2">
      <c r="F986" s="167"/>
      <c r="U986" s="168"/>
    </row>
    <row r="987" spans="6:21" ht="14.25" customHeight="1" x14ac:dyDescent="0.2">
      <c r="F987" s="167"/>
      <c r="U987" s="168"/>
    </row>
    <row r="988" spans="6:21" ht="14.25" customHeight="1" x14ac:dyDescent="0.2">
      <c r="F988" s="167"/>
      <c r="U988" s="168"/>
    </row>
    <row r="989" spans="6:21" ht="14.25" customHeight="1" x14ac:dyDescent="0.2">
      <c r="F989" s="167"/>
      <c r="U989" s="168"/>
    </row>
    <row r="990" spans="6:21" ht="14.25" customHeight="1" x14ac:dyDescent="0.2">
      <c r="F990" s="167"/>
      <c r="U990" s="168"/>
    </row>
    <row r="991" spans="6:21" ht="14.25" customHeight="1" x14ac:dyDescent="0.2">
      <c r="F991" s="167"/>
      <c r="U991" s="168"/>
    </row>
    <row r="992" spans="6:21" ht="14.25" customHeight="1" x14ac:dyDescent="0.2">
      <c r="F992" s="167"/>
      <c r="U992" s="168"/>
    </row>
    <row r="993" spans="6:21" ht="14.25" customHeight="1" x14ac:dyDescent="0.2">
      <c r="F993" s="167"/>
      <c r="U993" s="168"/>
    </row>
    <row r="994" spans="6:21" ht="14.25" customHeight="1" x14ac:dyDescent="0.2">
      <c r="F994" s="167"/>
      <c r="U994" s="168"/>
    </row>
    <row r="995" spans="6:21" ht="14.25" customHeight="1" x14ac:dyDescent="0.2">
      <c r="F995" s="167"/>
      <c r="U995" s="168"/>
    </row>
    <row r="996" spans="6:21" ht="14.25" customHeight="1" x14ac:dyDescent="0.2">
      <c r="F996" s="167"/>
      <c r="U996" s="168"/>
    </row>
    <row r="997" spans="6:21" ht="14.25" customHeight="1" x14ac:dyDescent="0.2">
      <c r="F997" s="167"/>
      <c r="U997" s="168"/>
    </row>
    <row r="998" spans="6:21" ht="14.25" customHeight="1" x14ac:dyDescent="0.2">
      <c r="F998" s="167"/>
      <c r="U998" s="168"/>
    </row>
    <row r="999" spans="6:21" ht="14.25" customHeight="1" x14ac:dyDescent="0.2">
      <c r="F999" s="167"/>
      <c r="U999" s="168"/>
    </row>
    <row r="1000" spans="6:21" ht="14.25" customHeight="1" x14ac:dyDescent="0.2">
      <c r="F1000" s="167"/>
      <c r="U1000" s="168"/>
    </row>
    <row r="1001" spans="6:21" ht="14.25" customHeight="1" x14ac:dyDescent="0.2">
      <c r="F1001" s="167"/>
      <c r="U1001" s="168"/>
    </row>
    <row r="1002" spans="6:21" ht="14.25" customHeight="1" x14ac:dyDescent="0.2">
      <c r="F1002" s="167"/>
      <c r="U1002" s="168"/>
    </row>
    <row r="1003" spans="6:21" ht="14.25" customHeight="1" x14ac:dyDescent="0.2">
      <c r="F1003" s="167"/>
      <c r="U1003" s="168"/>
    </row>
    <row r="1004" spans="6:21" ht="14.25" customHeight="1" x14ac:dyDescent="0.2">
      <c r="F1004" s="167"/>
      <c r="U1004" s="168"/>
    </row>
    <row r="1005" spans="6:21" ht="14.25" customHeight="1" x14ac:dyDescent="0.2">
      <c r="F1005" s="167"/>
      <c r="U1005" s="168"/>
    </row>
    <row r="1006" spans="6:21" ht="14.25" customHeight="1" x14ac:dyDescent="0.2">
      <c r="F1006" s="167"/>
      <c r="U1006" s="168"/>
    </row>
    <row r="1007" spans="6:21" ht="14.25" customHeight="1" x14ac:dyDescent="0.2">
      <c r="F1007" s="167"/>
      <c r="U1007" s="168"/>
    </row>
    <row r="1008" spans="6:21" ht="14.25" customHeight="1" x14ac:dyDescent="0.2">
      <c r="F1008" s="167"/>
      <c r="U1008" s="168"/>
    </row>
    <row r="1009" spans="6:21" ht="14.25" customHeight="1" x14ac:dyDescent="0.2">
      <c r="F1009" s="167"/>
      <c r="U1009" s="168"/>
    </row>
    <row r="1010" spans="6:21" ht="14.25" customHeight="1" x14ac:dyDescent="0.2">
      <c r="F1010" s="167"/>
      <c r="U1010" s="168"/>
    </row>
    <row r="1011" spans="6:21" ht="14.25" customHeight="1" x14ac:dyDescent="0.2">
      <c r="F1011" s="167"/>
      <c r="U1011" s="168"/>
    </row>
    <row r="1012" spans="6:21" ht="14.25" customHeight="1" x14ac:dyDescent="0.2">
      <c r="F1012" s="167"/>
      <c r="U1012" s="168"/>
    </row>
    <row r="1013" spans="6:21" ht="14.25" customHeight="1" x14ac:dyDescent="0.2">
      <c r="F1013" s="167"/>
      <c r="U1013" s="168"/>
    </row>
    <row r="1014" spans="6:21" ht="14.25" customHeight="1" x14ac:dyDescent="0.2">
      <c r="F1014" s="167"/>
      <c r="U1014" s="168"/>
    </row>
    <row r="1015" spans="6:21" ht="14.25" customHeight="1" x14ac:dyDescent="0.2">
      <c r="F1015" s="167"/>
      <c r="U1015" s="168"/>
    </row>
    <row r="1016" spans="6:21" ht="14.25" customHeight="1" x14ac:dyDescent="0.2">
      <c r="F1016" s="167"/>
      <c r="U1016" s="168"/>
    </row>
    <row r="1017" spans="6:21" ht="14.25" customHeight="1" x14ac:dyDescent="0.2">
      <c r="F1017" s="167"/>
      <c r="U1017" s="168"/>
    </row>
    <row r="1018" spans="6:21" ht="14.25" customHeight="1" x14ac:dyDescent="0.2">
      <c r="F1018" s="167"/>
      <c r="U1018" s="168"/>
    </row>
    <row r="1019" spans="6:21" ht="14.25" customHeight="1" x14ac:dyDescent="0.2">
      <c r="F1019" s="167"/>
      <c r="U1019" s="168"/>
    </row>
    <row r="1020" spans="6:21" ht="14.25" customHeight="1" x14ac:dyDescent="0.2">
      <c r="F1020" s="167"/>
      <c r="U1020" s="168"/>
    </row>
    <row r="1021" spans="6:21" ht="14.25" customHeight="1" x14ac:dyDescent="0.2">
      <c r="F1021" s="167"/>
      <c r="U1021" s="168"/>
    </row>
    <row r="1022" spans="6:21" ht="14.25" customHeight="1" x14ac:dyDescent="0.2">
      <c r="F1022" s="167"/>
      <c r="U1022" s="168"/>
    </row>
    <row r="1023" spans="6:21" ht="14.25" customHeight="1" x14ac:dyDescent="0.2">
      <c r="F1023" s="167"/>
      <c r="U1023" s="168"/>
    </row>
    <row r="1024" spans="6:21" ht="14.25" customHeight="1" x14ac:dyDescent="0.2">
      <c r="F1024" s="167"/>
      <c r="U1024" s="168"/>
    </row>
    <row r="1025" spans="6:21" ht="14.25" customHeight="1" x14ac:dyDescent="0.2">
      <c r="F1025" s="167"/>
      <c r="U1025" s="168"/>
    </row>
    <row r="1026" spans="6:21" ht="14.25" customHeight="1" x14ac:dyDescent="0.2">
      <c r="F1026" s="167"/>
      <c r="U1026" s="168"/>
    </row>
    <row r="1027" spans="6:21" ht="14.25" customHeight="1" x14ac:dyDescent="0.2">
      <c r="F1027" s="167"/>
      <c r="U1027" s="168"/>
    </row>
    <row r="1028" spans="6:21" ht="14.25" customHeight="1" x14ac:dyDescent="0.2">
      <c r="F1028" s="167"/>
      <c r="U1028" s="168"/>
    </row>
    <row r="1029" spans="6:21" ht="14.25" customHeight="1" x14ac:dyDescent="0.2">
      <c r="F1029" s="167"/>
      <c r="U1029" s="168"/>
    </row>
    <row r="1030" spans="6:21" ht="14.25" customHeight="1" x14ac:dyDescent="0.2">
      <c r="F1030" s="167"/>
      <c r="U1030" s="168"/>
    </row>
    <row r="1031" spans="6:21" ht="14.25" customHeight="1" x14ac:dyDescent="0.2">
      <c r="F1031" s="167"/>
      <c r="U1031" s="168"/>
    </row>
    <row r="1032" spans="6:21" ht="14.25" customHeight="1" x14ac:dyDescent="0.2">
      <c r="F1032" s="167"/>
      <c r="U1032" s="168"/>
    </row>
    <row r="1033" spans="6:21" ht="14.25" customHeight="1" x14ac:dyDescent="0.2">
      <c r="F1033" s="167"/>
      <c r="U1033" s="168"/>
    </row>
    <row r="1034" spans="6:21" ht="14.25" customHeight="1" x14ac:dyDescent="0.2">
      <c r="F1034" s="167"/>
      <c r="U1034" s="168"/>
    </row>
    <row r="1035" spans="6:21" ht="14.25" customHeight="1" x14ac:dyDescent="0.2">
      <c r="F1035" s="167"/>
      <c r="U1035" s="168"/>
    </row>
    <row r="1036" spans="6:21" ht="14.25" customHeight="1" x14ac:dyDescent="0.2">
      <c r="F1036" s="167"/>
      <c r="U1036" s="168"/>
    </row>
    <row r="1037" spans="6:21" ht="14.25" customHeight="1" x14ac:dyDescent="0.2">
      <c r="F1037" s="167"/>
      <c r="U1037" s="168"/>
    </row>
    <row r="1038" spans="6:21" ht="14.25" customHeight="1" x14ac:dyDescent="0.2">
      <c r="F1038" s="167"/>
      <c r="U1038" s="168"/>
    </row>
    <row r="1039" spans="6:21" ht="14.25" customHeight="1" x14ac:dyDescent="0.2">
      <c r="F1039" s="167"/>
      <c r="U1039" s="168"/>
    </row>
    <row r="1040" spans="6:21" ht="14.25" customHeight="1" x14ac:dyDescent="0.2">
      <c r="F1040" s="167"/>
      <c r="U1040" s="168"/>
    </row>
    <row r="1041" spans="6:21" ht="14.25" customHeight="1" x14ac:dyDescent="0.2">
      <c r="F1041" s="167"/>
      <c r="U1041" s="168"/>
    </row>
    <row r="1042" spans="6:21" ht="14.25" customHeight="1" x14ac:dyDescent="0.2">
      <c r="F1042" s="167"/>
      <c r="U1042" s="168"/>
    </row>
    <row r="1043" spans="6:21" ht="14.25" customHeight="1" x14ac:dyDescent="0.2">
      <c r="F1043" s="167"/>
      <c r="U1043" s="168"/>
    </row>
    <row r="1044" spans="6:21" ht="14.25" customHeight="1" x14ac:dyDescent="0.2">
      <c r="F1044" s="167"/>
      <c r="U1044" s="168"/>
    </row>
    <row r="1045" spans="6:21" ht="14.25" customHeight="1" x14ac:dyDescent="0.2">
      <c r="F1045" s="167"/>
      <c r="U1045" s="168"/>
    </row>
    <row r="1046" spans="6:21" ht="14.25" customHeight="1" x14ac:dyDescent="0.2">
      <c r="F1046" s="167"/>
      <c r="U1046" s="168"/>
    </row>
    <row r="1047" spans="6:21" ht="14.25" customHeight="1" x14ac:dyDescent="0.2">
      <c r="F1047" s="167"/>
      <c r="U1047" s="168"/>
    </row>
    <row r="1048" spans="6:21" ht="14.25" customHeight="1" x14ac:dyDescent="0.2">
      <c r="F1048" s="167"/>
      <c r="U1048" s="168"/>
    </row>
    <row r="1049" spans="6:21" ht="14.25" customHeight="1" x14ac:dyDescent="0.2">
      <c r="F1049" s="167"/>
      <c r="U1049" s="168"/>
    </row>
    <row r="1050" spans="6:21" ht="14.25" customHeight="1" x14ac:dyDescent="0.2">
      <c r="F1050" s="167"/>
      <c r="U1050" s="168"/>
    </row>
    <row r="1051" spans="6:21" ht="14.25" customHeight="1" x14ac:dyDescent="0.2">
      <c r="F1051" s="167"/>
      <c r="U1051" s="168"/>
    </row>
    <row r="1052" spans="6:21" ht="14.25" customHeight="1" x14ac:dyDescent="0.2">
      <c r="F1052" s="167"/>
      <c r="U1052" s="168"/>
    </row>
    <row r="1053" spans="6:21" ht="14.25" customHeight="1" x14ac:dyDescent="0.2">
      <c r="F1053" s="167"/>
      <c r="U1053" s="168"/>
    </row>
    <row r="1054" spans="6:21" ht="14.25" customHeight="1" x14ac:dyDescent="0.2">
      <c r="F1054" s="167"/>
      <c r="U1054" s="168"/>
    </row>
    <row r="1055" spans="6:21" ht="14.25" customHeight="1" x14ac:dyDescent="0.2">
      <c r="F1055" s="167"/>
      <c r="U1055" s="168"/>
    </row>
    <row r="1056" spans="6:21" ht="14.25" customHeight="1" x14ac:dyDescent="0.2">
      <c r="F1056" s="167"/>
      <c r="U1056" s="168"/>
    </row>
    <row r="1057" spans="6:21" ht="14.25" customHeight="1" x14ac:dyDescent="0.2">
      <c r="F1057" s="167"/>
      <c r="U1057" s="168"/>
    </row>
    <row r="1058" spans="6:21" ht="14.25" customHeight="1" x14ac:dyDescent="0.2">
      <c r="F1058" s="167"/>
      <c r="U1058" s="168"/>
    </row>
    <row r="1059" spans="6:21" ht="14.25" customHeight="1" x14ac:dyDescent="0.2">
      <c r="F1059" s="167"/>
      <c r="U1059" s="168"/>
    </row>
    <row r="1060" spans="6:21" ht="14.25" customHeight="1" x14ac:dyDescent="0.2">
      <c r="F1060" s="167"/>
      <c r="U1060" s="168"/>
    </row>
    <row r="1061" spans="6:21" ht="14.25" customHeight="1" x14ac:dyDescent="0.2">
      <c r="F1061" s="167"/>
      <c r="U1061" s="168"/>
    </row>
    <row r="1062" spans="6:21" ht="14.25" customHeight="1" x14ac:dyDescent="0.2">
      <c r="F1062" s="167"/>
      <c r="U1062" s="168"/>
    </row>
    <row r="1063" spans="6:21" ht="14.25" customHeight="1" x14ac:dyDescent="0.2">
      <c r="F1063" s="167"/>
      <c r="U1063" s="168"/>
    </row>
    <row r="1064" spans="6:21" ht="14.25" customHeight="1" x14ac:dyDescent="0.2">
      <c r="F1064" s="167"/>
      <c r="U1064" s="168"/>
    </row>
    <row r="1065" spans="6:21" ht="14.25" customHeight="1" x14ac:dyDescent="0.2">
      <c r="F1065" s="167"/>
      <c r="U1065" s="168"/>
    </row>
    <row r="1066" spans="6:21" ht="14.25" customHeight="1" x14ac:dyDescent="0.2">
      <c r="F1066" s="167"/>
      <c r="U1066" s="168"/>
    </row>
    <row r="1067" spans="6:21" ht="14.25" customHeight="1" x14ac:dyDescent="0.2">
      <c r="F1067" s="167"/>
      <c r="U1067" s="168"/>
    </row>
    <row r="1068" spans="6:21" ht="14.25" customHeight="1" x14ac:dyDescent="0.2">
      <c r="F1068" s="167"/>
      <c r="U1068" s="168"/>
    </row>
    <row r="1069" spans="6:21" ht="14.25" customHeight="1" x14ac:dyDescent="0.2">
      <c r="F1069" s="167"/>
      <c r="U1069" s="168"/>
    </row>
    <row r="1070" spans="6:21" ht="14.25" customHeight="1" x14ac:dyDescent="0.2">
      <c r="F1070" s="167"/>
      <c r="U1070" s="168"/>
    </row>
    <row r="1071" spans="6:21" ht="14.25" customHeight="1" x14ac:dyDescent="0.2">
      <c r="F1071" s="167"/>
      <c r="U1071" s="168"/>
    </row>
    <row r="1072" spans="6:21" ht="14.25" customHeight="1" x14ac:dyDescent="0.2">
      <c r="F1072" s="167"/>
      <c r="U1072" s="168"/>
    </row>
    <row r="1073" spans="6:21" ht="14.25" customHeight="1" x14ac:dyDescent="0.2">
      <c r="F1073" s="167"/>
      <c r="U1073" s="168"/>
    </row>
    <row r="1074" spans="6:21" ht="14.25" customHeight="1" x14ac:dyDescent="0.2">
      <c r="F1074" s="167"/>
      <c r="U1074" s="168"/>
    </row>
    <row r="1075" spans="6:21" ht="14.25" customHeight="1" x14ac:dyDescent="0.2">
      <c r="F1075" s="167"/>
      <c r="U1075" s="168"/>
    </row>
    <row r="1076" spans="6:21" ht="14.25" customHeight="1" x14ac:dyDescent="0.2">
      <c r="F1076" s="167"/>
      <c r="U1076" s="168"/>
    </row>
    <row r="1077" spans="6:21" ht="14.25" customHeight="1" x14ac:dyDescent="0.2">
      <c r="F1077" s="167"/>
      <c r="U1077" s="168"/>
    </row>
    <row r="1078" spans="6:21" ht="14.25" customHeight="1" x14ac:dyDescent="0.2">
      <c r="F1078" s="167"/>
      <c r="U1078" s="168"/>
    </row>
    <row r="1079" spans="6:21" ht="14.25" customHeight="1" x14ac:dyDescent="0.2">
      <c r="F1079" s="167"/>
      <c r="U1079" s="168"/>
    </row>
    <row r="1080" spans="6:21" ht="14.25" customHeight="1" x14ac:dyDescent="0.2">
      <c r="F1080" s="167"/>
      <c r="U1080" s="168"/>
    </row>
    <row r="1081" spans="6:21" ht="14.25" customHeight="1" x14ac:dyDescent="0.2">
      <c r="F1081" s="167"/>
      <c r="U1081" s="168"/>
    </row>
    <row r="1082" spans="6:21" ht="14.25" customHeight="1" x14ac:dyDescent="0.2">
      <c r="F1082" s="167"/>
      <c r="U1082" s="168"/>
    </row>
    <row r="1083" spans="6:21" ht="14.25" customHeight="1" x14ac:dyDescent="0.2">
      <c r="F1083" s="167"/>
      <c r="U1083" s="168"/>
    </row>
    <row r="1084" spans="6:21" ht="14.25" customHeight="1" x14ac:dyDescent="0.2">
      <c r="F1084" s="167"/>
      <c r="U1084" s="168"/>
    </row>
    <row r="1085" spans="6:21" ht="14.25" customHeight="1" x14ac:dyDescent="0.2">
      <c r="F1085" s="167"/>
      <c r="U1085" s="168"/>
    </row>
    <row r="1086" spans="6:21" ht="14.25" customHeight="1" x14ac:dyDescent="0.2">
      <c r="F1086" s="167"/>
      <c r="U1086" s="168"/>
    </row>
    <row r="1087" spans="6:21" ht="14.25" customHeight="1" x14ac:dyDescent="0.2">
      <c r="F1087" s="167"/>
      <c r="U1087" s="168"/>
    </row>
    <row r="1088" spans="6:21" ht="14.25" customHeight="1" x14ac:dyDescent="0.2">
      <c r="F1088" s="167"/>
      <c r="U1088" s="168"/>
    </row>
    <row r="1089" spans="6:21" ht="14.25" customHeight="1" x14ac:dyDescent="0.2">
      <c r="F1089" s="167"/>
      <c r="U1089" s="168"/>
    </row>
    <row r="1090" spans="6:21" ht="14.25" customHeight="1" x14ac:dyDescent="0.2">
      <c r="F1090" s="167"/>
      <c r="U1090" s="168"/>
    </row>
    <row r="1091" spans="6:21" ht="14.25" customHeight="1" x14ac:dyDescent="0.2">
      <c r="F1091" s="167"/>
      <c r="U1091" s="168"/>
    </row>
    <row r="1092" spans="6:21" ht="14.25" customHeight="1" x14ac:dyDescent="0.2">
      <c r="F1092" s="167"/>
      <c r="U1092" s="168"/>
    </row>
    <row r="1093" spans="6:21" ht="14.25" customHeight="1" x14ac:dyDescent="0.2">
      <c r="F1093" s="167"/>
      <c r="U1093" s="168"/>
    </row>
    <row r="1094" spans="6:21" ht="14.25" customHeight="1" x14ac:dyDescent="0.2">
      <c r="F1094" s="167"/>
      <c r="U1094" s="168"/>
    </row>
    <row r="1095" spans="6:21" ht="14.25" customHeight="1" x14ac:dyDescent="0.2">
      <c r="F1095" s="167"/>
      <c r="U1095" s="168"/>
    </row>
    <row r="1096" spans="6:21" ht="14.25" customHeight="1" x14ac:dyDescent="0.2">
      <c r="F1096" s="167"/>
      <c r="U1096" s="168"/>
    </row>
    <row r="1097" spans="6:21" ht="14.25" customHeight="1" x14ac:dyDescent="0.2">
      <c r="F1097" s="167"/>
      <c r="U1097" s="168"/>
    </row>
    <row r="1098" spans="6:21" ht="14.25" customHeight="1" x14ac:dyDescent="0.2">
      <c r="F1098" s="167"/>
      <c r="U1098" s="168"/>
    </row>
    <row r="1099" spans="6:21" ht="14.25" customHeight="1" x14ac:dyDescent="0.2">
      <c r="F1099" s="167"/>
      <c r="U1099" s="168"/>
    </row>
    <row r="1100" spans="6:21" ht="14.25" customHeight="1" x14ac:dyDescent="0.2">
      <c r="F1100" s="167"/>
      <c r="U1100" s="168"/>
    </row>
    <row r="1101" spans="6:21" ht="14.25" customHeight="1" x14ac:dyDescent="0.2">
      <c r="F1101" s="167"/>
      <c r="U1101" s="168"/>
    </row>
    <row r="1102" spans="6:21" ht="14.25" customHeight="1" x14ac:dyDescent="0.2">
      <c r="F1102" s="167"/>
      <c r="U1102" s="168"/>
    </row>
    <row r="1103" spans="6:21" ht="14.25" customHeight="1" x14ac:dyDescent="0.2">
      <c r="F1103" s="167"/>
      <c r="U1103" s="168"/>
    </row>
    <row r="1104" spans="6:21" ht="14.25" customHeight="1" x14ac:dyDescent="0.2">
      <c r="F1104" s="167"/>
      <c r="U1104" s="168"/>
    </row>
    <row r="1105" spans="6:21" ht="14.25" customHeight="1" x14ac:dyDescent="0.2">
      <c r="F1105" s="167"/>
      <c r="U1105" s="168"/>
    </row>
    <row r="1106" spans="6:21" ht="14.25" customHeight="1" x14ac:dyDescent="0.2">
      <c r="F1106" s="167"/>
      <c r="U1106" s="168"/>
    </row>
    <row r="1107" spans="6:21" ht="14.25" customHeight="1" x14ac:dyDescent="0.2">
      <c r="F1107" s="167"/>
      <c r="U1107" s="168"/>
    </row>
  </sheetData>
  <mergeCells count="5">
    <mergeCell ref="K9:M9"/>
    <mergeCell ref="K10:L10"/>
    <mergeCell ref="K14:M14"/>
    <mergeCell ref="K15:L15"/>
    <mergeCell ref="K19:L19"/>
  </mergeCell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0"/>
  <sheetViews>
    <sheetView workbookViewId="0">
      <pane ySplit="4" topLeftCell="A5" activePane="bottomLeft" state="frozen"/>
      <selection pane="bottomLeft" activeCell="C1" sqref="C1"/>
    </sheetView>
  </sheetViews>
  <sheetFormatPr baseColWidth="10" defaultRowHeight="15" x14ac:dyDescent="0.2"/>
  <cols>
    <col min="1" max="1" width="3.83203125" customWidth="1"/>
    <col min="2" max="2" width="11.6640625" style="1" customWidth="1"/>
    <col min="6" max="6" width="16.6640625" customWidth="1"/>
    <col min="7" max="8" width="13.33203125" customWidth="1"/>
  </cols>
  <sheetData>
    <row r="1" spans="1:8" x14ac:dyDescent="0.2">
      <c r="A1" s="183" t="s">
        <v>130</v>
      </c>
    </row>
    <row r="3" spans="1:8" x14ac:dyDescent="0.2">
      <c r="B3" s="199"/>
      <c r="C3" s="218" t="s">
        <v>0</v>
      </c>
      <c r="D3" s="219"/>
      <c r="E3" s="220"/>
      <c r="F3" s="200"/>
      <c r="G3" s="200"/>
    </row>
    <row r="4" spans="1:8" x14ac:dyDescent="0.2">
      <c r="B4" s="178" t="s">
        <v>99</v>
      </c>
      <c r="C4" s="2" t="s">
        <v>62</v>
      </c>
      <c r="D4" s="3" t="s">
        <v>61</v>
      </c>
      <c r="E4" s="4" t="s">
        <v>97</v>
      </c>
      <c r="F4" s="178" t="s">
        <v>105</v>
      </c>
      <c r="G4" s="178" t="s">
        <v>90</v>
      </c>
      <c r="H4" s="43"/>
    </row>
    <row r="5" spans="1:8" x14ac:dyDescent="0.2">
      <c r="B5" s="1">
        <v>1</v>
      </c>
      <c r="C5" s="15">
        <v>3.88</v>
      </c>
      <c r="D5" s="15">
        <v>1.18</v>
      </c>
      <c r="E5" s="15">
        <v>1.7</v>
      </c>
      <c r="F5" s="25">
        <f>(4/3)*PI()*(C5/2)*(D5/2)*(E5/2)</f>
        <v>4.0753158781387269</v>
      </c>
      <c r="G5" s="25">
        <v>4.99</v>
      </c>
      <c r="H5" s="25"/>
    </row>
    <row r="6" spans="1:8" x14ac:dyDescent="0.2">
      <c r="B6" s="1">
        <v>2</v>
      </c>
      <c r="C6" s="15">
        <v>3.9200000000000004</v>
      </c>
      <c r="D6" s="15">
        <v>1.3399999999999999</v>
      </c>
      <c r="E6" s="15">
        <v>2.2600000000000002</v>
      </c>
      <c r="F6" s="25">
        <f t="shared" ref="F6:F40" si="0">(4/3)*PI()*(C6/2)*(D6/2)*(E6/2)</f>
        <v>6.2158128055258031</v>
      </c>
      <c r="G6" s="25">
        <v>7.53</v>
      </c>
      <c r="H6" s="25"/>
    </row>
    <row r="7" spans="1:8" x14ac:dyDescent="0.2">
      <c r="B7" s="1">
        <v>3</v>
      </c>
      <c r="C7" s="164">
        <v>3.66</v>
      </c>
      <c r="D7" s="164">
        <v>1.42</v>
      </c>
      <c r="E7" s="164">
        <v>1.6600000000000001</v>
      </c>
      <c r="F7" s="165">
        <f t="shared" si="0"/>
        <v>4.517270943855535</v>
      </c>
      <c r="G7" s="165">
        <v>5.15</v>
      </c>
      <c r="H7" s="25"/>
    </row>
    <row r="8" spans="1:8" x14ac:dyDescent="0.2">
      <c r="B8" s="1">
        <v>4</v>
      </c>
      <c r="C8" s="164">
        <v>3.54</v>
      </c>
      <c r="D8" s="164">
        <v>1.42</v>
      </c>
      <c r="E8" s="164">
        <v>1.6199999999999999</v>
      </c>
      <c r="F8" s="165">
        <f t="shared" si="0"/>
        <v>4.2638826467875965</v>
      </c>
      <c r="G8" s="165">
        <v>4.67</v>
      </c>
      <c r="H8" s="25"/>
    </row>
    <row r="9" spans="1:8" x14ac:dyDescent="0.2">
      <c r="B9" s="1">
        <v>5</v>
      </c>
      <c r="C9" s="164">
        <v>4.5</v>
      </c>
      <c r="D9" s="164">
        <v>1.46</v>
      </c>
      <c r="E9" s="164">
        <v>1.7</v>
      </c>
      <c r="F9" s="165">
        <f t="shared" si="0"/>
        <v>5.8480747246574003</v>
      </c>
      <c r="G9" s="165">
        <v>5.48</v>
      </c>
      <c r="H9" s="25"/>
    </row>
    <row r="10" spans="1:8" x14ac:dyDescent="0.2">
      <c r="B10" s="1">
        <v>6</v>
      </c>
      <c r="C10" s="164">
        <v>3.5799999999999996</v>
      </c>
      <c r="D10" s="164">
        <v>1.34</v>
      </c>
      <c r="E10" s="164">
        <v>1.6199999999999999</v>
      </c>
      <c r="F10" s="165">
        <f t="shared" si="0"/>
        <v>4.0691290350062577</v>
      </c>
      <c r="G10" s="165">
        <v>5.04</v>
      </c>
      <c r="H10" s="25"/>
    </row>
    <row r="11" spans="1:8" x14ac:dyDescent="0.2">
      <c r="B11" s="1">
        <v>7</v>
      </c>
      <c r="C11" s="164">
        <v>3.7</v>
      </c>
      <c r="D11" s="164">
        <v>1.2</v>
      </c>
      <c r="E11" s="164">
        <v>2.0599999999999996</v>
      </c>
      <c r="F11" s="165">
        <f t="shared" si="0"/>
        <v>4.7890438411322789</v>
      </c>
      <c r="G11" s="165">
        <v>4.6100000000000003</v>
      </c>
      <c r="H11" s="25"/>
    </row>
    <row r="12" spans="1:8" x14ac:dyDescent="0.2">
      <c r="B12" s="1">
        <v>8</v>
      </c>
      <c r="C12" s="164">
        <v>3.7</v>
      </c>
      <c r="D12" s="164">
        <v>1.3599999999999999</v>
      </c>
      <c r="E12" s="164">
        <v>1.86</v>
      </c>
      <c r="F12" s="165">
        <f t="shared" si="0"/>
        <v>4.9006332121877891</v>
      </c>
      <c r="G12" s="165">
        <v>4.5199999999999996</v>
      </c>
      <c r="H12" s="25"/>
    </row>
    <row r="13" spans="1:8" x14ac:dyDescent="0.2">
      <c r="B13" s="1">
        <v>9</v>
      </c>
      <c r="C13" s="164">
        <v>3.96</v>
      </c>
      <c r="D13" s="164">
        <v>1.24</v>
      </c>
      <c r="E13" s="164">
        <v>1.52</v>
      </c>
      <c r="F13" s="165">
        <f t="shared" si="0"/>
        <v>3.9080407301007876</v>
      </c>
      <c r="G13" s="165">
        <v>5.52</v>
      </c>
      <c r="H13" s="25"/>
    </row>
    <row r="14" spans="1:8" x14ac:dyDescent="0.2">
      <c r="B14" s="1">
        <v>10</v>
      </c>
      <c r="C14" s="164">
        <v>4.18</v>
      </c>
      <c r="D14" s="164">
        <v>1.26</v>
      </c>
      <c r="E14" s="164">
        <v>1.8</v>
      </c>
      <c r="F14" s="165">
        <f t="shared" si="0"/>
        <v>4.9638420563780166</v>
      </c>
      <c r="G14" s="165">
        <v>5.01</v>
      </c>
      <c r="H14" s="25"/>
    </row>
    <row r="15" spans="1:8" x14ac:dyDescent="0.2">
      <c r="B15" s="1">
        <v>11</v>
      </c>
      <c r="C15" s="164">
        <v>3.7399999999999998</v>
      </c>
      <c r="D15" s="164">
        <v>1.48</v>
      </c>
      <c r="E15" s="164">
        <v>1.94</v>
      </c>
      <c r="F15" s="165">
        <f t="shared" si="0"/>
        <v>5.6225544488219041</v>
      </c>
      <c r="G15" s="165">
        <v>7.38</v>
      </c>
      <c r="H15" s="25"/>
    </row>
    <row r="16" spans="1:8" x14ac:dyDescent="0.2">
      <c r="B16" s="1">
        <v>12</v>
      </c>
      <c r="C16" s="164">
        <v>4.125</v>
      </c>
      <c r="D16" s="164">
        <v>1.25</v>
      </c>
      <c r="E16" s="164">
        <v>1.85</v>
      </c>
      <c r="F16" s="165">
        <f t="shared" si="0"/>
        <v>4.9946414453556471</v>
      </c>
      <c r="G16" s="165">
        <v>5.27</v>
      </c>
      <c r="H16" s="25"/>
    </row>
    <row r="17" spans="2:8" x14ac:dyDescent="0.2">
      <c r="B17" s="1">
        <v>13</v>
      </c>
      <c r="C17" s="164">
        <v>4.9799999999999995</v>
      </c>
      <c r="D17" s="164">
        <v>1.4400000000000002</v>
      </c>
      <c r="E17" s="164">
        <v>2</v>
      </c>
      <c r="F17" s="165">
        <f t="shared" si="0"/>
        <v>7.509663079141041</v>
      </c>
      <c r="G17" s="165">
        <v>9.86</v>
      </c>
      <c r="H17" s="25"/>
    </row>
    <row r="18" spans="2:8" x14ac:dyDescent="0.2">
      <c r="B18" s="1">
        <v>14</v>
      </c>
      <c r="C18" s="164">
        <v>3.54</v>
      </c>
      <c r="D18" s="164">
        <v>0.8600000000000001</v>
      </c>
      <c r="E18" s="164">
        <v>1.44</v>
      </c>
      <c r="F18" s="165">
        <f t="shared" si="0"/>
        <v>2.2954235219013039</v>
      </c>
      <c r="G18" s="165">
        <v>3.59</v>
      </c>
      <c r="H18" s="25"/>
    </row>
    <row r="19" spans="2:8" x14ac:dyDescent="0.2">
      <c r="B19" s="1">
        <v>15</v>
      </c>
      <c r="C19" s="164">
        <v>3.3800000000000003</v>
      </c>
      <c r="D19" s="164">
        <v>1.1200000000000001</v>
      </c>
      <c r="E19" s="164">
        <v>1.78</v>
      </c>
      <c r="F19" s="165">
        <f t="shared" si="0"/>
        <v>3.5282012343307585</v>
      </c>
      <c r="G19" s="165">
        <v>5.09</v>
      </c>
      <c r="H19" s="25"/>
    </row>
    <row r="20" spans="2:8" x14ac:dyDescent="0.2">
      <c r="B20" s="1">
        <v>16</v>
      </c>
      <c r="C20" s="164">
        <v>4.4799999999999995</v>
      </c>
      <c r="D20" s="164">
        <v>1.1199999999999999</v>
      </c>
      <c r="E20" s="164">
        <v>1.8</v>
      </c>
      <c r="F20" s="165">
        <f t="shared" si="0"/>
        <v>4.7289765895956437</v>
      </c>
      <c r="G20" s="165">
        <v>6.43</v>
      </c>
      <c r="H20" s="25"/>
    </row>
    <row r="21" spans="2:8" x14ac:dyDescent="0.2">
      <c r="B21" s="1">
        <v>17</v>
      </c>
      <c r="C21" s="15">
        <v>4.16</v>
      </c>
      <c r="D21" s="15">
        <v>0.98000000000000009</v>
      </c>
      <c r="E21" s="15">
        <v>1.7</v>
      </c>
      <c r="F21" s="25">
        <f t="shared" si="0"/>
        <v>3.6288327302105463</v>
      </c>
      <c r="G21" s="25">
        <v>5.73</v>
      </c>
      <c r="H21" s="25"/>
    </row>
    <row r="22" spans="2:8" x14ac:dyDescent="0.2">
      <c r="B22" s="1">
        <v>18</v>
      </c>
      <c r="C22" s="15">
        <v>4.42</v>
      </c>
      <c r="D22" s="15">
        <v>1.2799999999999998</v>
      </c>
      <c r="E22" s="15">
        <v>1.6199999999999999</v>
      </c>
      <c r="F22" s="25">
        <f t="shared" si="0"/>
        <v>4.798946141176395</v>
      </c>
      <c r="G22" s="25">
        <v>6.21</v>
      </c>
      <c r="H22" s="25"/>
    </row>
    <row r="23" spans="2:8" x14ac:dyDescent="0.2">
      <c r="B23" s="1">
        <v>19</v>
      </c>
      <c r="C23" s="15">
        <v>4.04</v>
      </c>
      <c r="D23" s="15">
        <v>1.1400000000000001</v>
      </c>
      <c r="E23" s="15">
        <v>1.9600000000000002</v>
      </c>
      <c r="F23" s="25">
        <f t="shared" si="0"/>
        <v>4.7265135809552303</v>
      </c>
      <c r="G23" s="25">
        <v>6.08</v>
      </c>
      <c r="H23" s="25"/>
    </row>
    <row r="24" spans="2:8" x14ac:dyDescent="0.2">
      <c r="B24" s="1">
        <v>20</v>
      </c>
      <c r="C24" s="15">
        <v>3.3</v>
      </c>
      <c r="D24" s="15">
        <v>0.86</v>
      </c>
      <c r="E24" s="15">
        <v>1.8399999999999999</v>
      </c>
      <c r="F24" s="25">
        <f t="shared" si="0"/>
        <v>2.7341909182722679</v>
      </c>
      <c r="G24" s="25">
        <v>4.0999999999999996</v>
      </c>
      <c r="H24" s="25"/>
    </row>
    <row r="25" spans="2:8" x14ac:dyDescent="0.2">
      <c r="B25" s="1">
        <v>21</v>
      </c>
      <c r="C25" s="15">
        <v>2.9</v>
      </c>
      <c r="D25" s="15">
        <v>0.8</v>
      </c>
      <c r="E25" s="15">
        <v>1.52</v>
      </c>
      <c r="F25" s="25">
        <f t="shared" si="0"/>
        <v>1.8464187222698409</v>
      </c>
      <c r="G25" s="25">
        <v>3.13</v>
      </c>
      <c r="H25" s="25"/>
    </row>
    <row r="26" spans="2:8" x14ac:dyDescent="0.2">
      <c r="B26" s="1">
        <v>22</v>
      </c>
      <c r="C26" s="15">
        <v>6.04</v>
      </c>
      <c r="D26" s="15">
        <v>1.52</v>
      </c>
      <c r="E26" s="15">
        <v>2.1</v>
      </c>
      <c r="F26" s="25">
        <f t="shared" si="0"/>
        <v>10.09481684192701</v>
      </c>
      <c r="G26" s="25">
        <v>11.93</v>
      </c>
      <c r="H26" s="25"/>
    </row>
    <row r="27" spans="2:8" x14ac:dyDescent="0.2">
      <c r="B27" s="1">
        <v>23</v>
      </c>
      <c r="C27" s="15">
        <v>4.08</v>
      </c>
      <c r="D27" s="15">
        <v>0.97999999999999987</v>
      </c>
      <c r="E27" s="15">
        <v>1.64</v>
      </c>
      <c r="F27" s="25">
        <f t="shared" si="0"/>
        <v>3.4334340447376701</v>
      </c>
      <c r="G27" s="25">
        <v>5.0199999999999996</v>
      </c>
      <c r="H27" s="25"/>
    </row>
    <row r="28" spans="2:8" x14ac:dyDescent="0.2">
      <c r="B28" s="1">
        <v>24</v>
      </c>
      <c r="C28" s="15">
        <v>3.5</v>
      </c>
      <c r="D28" s="15">
        <v>0.94000000000000006</v>
      </c>
      <c r="E28" s="15">
        <v>1.56</v>
      </c>
      <c r="F28" s="25">
        <f t="shared" si="0"/>
        <v>2.6873183558807092</v>
      </c>
      <c r="G28" s="25">
        <v>4.4800000000000004</v>
      </c>
      <c r="H28" s="25"/>
    </row>
    <row r="29" spans="2:8" x14ac:dyDescent="0.2">
      <c r="B29" s="1">
        <v>25</v>
      </c>
      <c r="C29" s="15">
        <v>3.78</v>
      </c>
      <c r="D29" s="15">
        <v>1</v>
      </c>
      <c r="E29" s="15">
        <v>1.56</v>
      </c>
      <c r="F29" s="25">
        <f t="shared" si="0"/>
        <v>3.0875572599480483</v>
      </c>
      <c r="G29" s="25">
        <v>3.89</v>
      </c>
      <c r="H29" s="25"/>
    </row>
    <row r="30" spans="2:8" x14ac:dyDescent="0.2">
      <c r="B30" s="1">
        <v>26</v>
      </c>
      <c r="C30" s="15">
        <v>4.7249999999999996</v>
      </c>
      <c r="D30">
        <v>1.1000000000000001</v>
      </c>
      <c r="E30" s="15">
        <v>2.2249999999999996</v>
      </c>
      <c r="F30" s="25">
        <f t="shared" si="0"/>
        <v>6.0551253154830507</v>
      </c>
      <c r="G30" s="25">
        <v>7.84</v>
      </c>
      <c r="H30" s="25"/>
    </row>
    <row r="31" spans="2:8" x14ac:dyDescent="0.2">
      <c r="B31" s="1">
        <v>27</v>
      </c>
      <c r="C31" s="15">
        <v>3.5</v>
      </c>
      <c r="D31" s="15">
        <v>1.1000000000000001</v>
      </c>
      <c r="E31" s="15">
        <v>1.7</v>
      </c>
      <c r="F31" s="25">
        <f t="shared" si="0"/>
        <v>3.4269539862908664</v>
      </c>
      <c r="G31" s="25">
        <v>3.22</v>
      </c>
      <c r="H31" s="25"/>
    </row>
    <row r="32" spans="2:8" x14ac:dyDescent="0.2">
      <c r="B32" s="1">
        <v>28</v>
      </c>
      <c r="C32" s="15">
        <v>3.5</v>
      </c>
      <c r="D32" s="15">
        <v>1.1499999999999999</v>
      </c>
      <c r="E32" s="15">
        <v>1.9</v>
      </c>
      <c r="F32" s="25">
        <f t="shared" si="0"/>
        <v>4.0042216363879906</v>
      </c>
      <c r="G32" s="25">
        <v>5.63</v>
      </c>
      <c r="H32" s="25"/>
    </row>
    <row r="33" spans="2:8" x14ac:dyDescent="0.2">
      <c r="B33" s="1">
        <v>29</v>
      </c>
      <c r="C33" s="15">
        <v>3.4</v>
      </c>
      <c r="D33" s="15">
        <v>1.4</v>
      </c>
      <c r="E33" s="15">
        <v>2.0499999999999998</v>
      </c>
      <c r="F33" s="25">
        <f t="shared" si="0"/>
        <v>5.1092768522881986</v>
      </c>
      <c r="G33" s="25">
        <v>6.2</v>
      </c>
      <c r="H33" s="25"/>
    </row>
    <row r="34" spans="2:8" x14ac:dyDescent="0.2">
      <c r="B34" s="1">
        <v>30</v>
      </c>
      <c r="C34" s="15">
        <v>3.6</v>
      </c>
      <c r="D34" s="15">
        <v>1.25</v>
      </c>
      <c r="E34" s="15">
        <v>1.9</v>
      </c>
      <c r="F34" s="25">
        <f t="shared" si="0"/>
        <v>4.4767695313654547</v>
      </c>
      <c r="G34" s="15">
        <v>7.08</v>
      </c>
      <c r="H34" s="15"/>
    </row>
    <row r="35" spans="2:8" x14ac:dyDescent="0.2">
      <c r="B35" s="1">
        <v>31</v>
      </c>
      <c r="C35" s="15">
        <v>4.3499999999999996</v>
      </c>
      <c r="D35" s="15">
        <v>1.2</v>
      </c>
      <c r="E35" s="15">
        <v>1.6</v>
      </c>
      <c r="F35" s="25">
        <f t="shared" si="0"/>
        <v>4.3730969737969909</v>
      </c>
      <c r="G35" s="25">
        <v>5.52</v>
      </c>
      <c r="H35" s="25"/>
    </row>
    <row r="36" spans="2:8" x14ac:dyDescent="0.2">
      <c r="B36" s="1">
        <v>32</v>
      </c>
      <c r="C36" s="15">
        <v>3.3</v>
      </c>
      <c r="D36" s="15">
        <v>1.1000000000000001</v>
      </c>
      <c r="E36" s="15">
        <v>1.5</v>
      </c>
      <c r="F36" s="25">
        <f t="shared" si="0"/>
        <v>2.8509953331327371</v>
      </c>
      <c r="G36" s="25">
        <v>4.67</v>
      </c>
      <c r="H36" s="25"/>
    </row>
    <row r="37" spans="2:8" x14ac:dyDescent="0.2">
      <c r="B37" s="1">
        <v>33</v>
      </c>
      <c r="C37" s="15">
        <v>3.6749999999999998</v>
      </c>
      <c r="D37" s="15">
        <v>1.25</v>
      </c>
      <c r="E37" s="15">
        <v>1.75</v>
      </c>
      <c r="F37" s="25">
        <f t="shared" si="0"/>
        <v>4.2092432819581989</v>
      </c>
      <c r="G37" s="25"/>
      <c r="H37" s="25"/>
    </row>
    <row r="38" spans="2:8" x14ac:dyDescent="0.2">
      <c r="B38" s="1">
        <v>34</v>
      </c>
      <c r="C38" s="15">
        <v>4.1500000000000004</v>
      </c>
      <c r="D38" s="15">
        <v>1.2999999999999998</v>
      </c>
      <c r="E38" s="15">
        <v>1.8</v>
      </c>
      <c r="F38" s="25">
        <f t="shared" si="0"/>
        <v>5.0846677098350792</v>
      </c>
      <c r="G38" s="25">
        <v>5.79</v>
      </c>
      <c r="H38" s="25"/>
    </row>
    <row r="39" spans="2:8" x14ac:dyDescent="0.2">
      <c r="B39" s="1">
        <v>35</v>
      </c>
      <c r="C39" s="15">
        <v>3.5</v>
      </c>
      <c r="D39" s="15">
        <v>0.9</v>
      </c>
      <c r="E39" s="15">
        <v>1.5</v>
      </c>
      <c r="F39" s="25">
        <f t="shared" si="0"/>
        <v>2.4740042147019619</v>
      </c>
      <c r="G39" s="25">
        <v>3.25</v>
      </c>
      <c r="H39" s="25"/>
    </row>
    <row r="40" spans="2:8" x14ac:dyDescent="0.2">
      <c r="B40" s="1">
        <v>36</v>
      </c>
      <c r="C40" s="15">
        <v>3</v>
      </c>
      <c r="D40" s="15">
        <v>1.3666666666666665</v>
      </c>
      <c r="E40" s="15">
        <v>2</v>
      </c>
      <c r="F40" s="25">
        <f t="shared" si="0"/>
        <v>4.29350995990605</v>
      </c>
      <c r="G40" s="25">
        <v>4.84</v>
      </c>
      <c r="H40" s="25"/>
    </row>
  </sheetData>
  <mergeCells count="1">
    <mergeCell ref="C3:E3"/>
  </mergeCells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6"/>
  <sheetViews>
    <sheetView workbookViewId="0">
      <pane xSplit="1" ySplit="5" topLeftCell="B6" activePane="bottomRight" state="frozen"/>
      <selection pane="topRight" activeCell="B1" sqref="B1"/>
      <selection pane="bottomLeft" activeCell="A4" sqref="A4"/>
      <selection pane="bottomRight" activeCell="G9" sqref="G9"/>
    </sheetView>
  </sheetViews>
  <sheetFormatPr baseColWidth="10" defaultRowHeight="15" x14ac:dyDescent="0.2"/>
  <cols>
    <col min="1" max="1" width="11.83203125" customWidth="1"/>
    <col min="2" max="2" width="13.6640625" customWidth="1"/>
    <col min="3" max="3" width="15.1640625" customWidth="1"/>
    <col min="4" max="6" width="11.83203125" customWidth="1"/>
    <col min="7" max="7" width="20" customWidth="1"/>
    <col min="8" max="8" width="18.83203125" customWidth="1"/>
  </cols>
  <sheetData>
    <row r="1" spans="1:8" ht="16" x14ac:dyDescent="0.2">
      <c r="A1" s="184" t="s">
        <v>134</v>
      </c>
    </row>
    <row r="2" spans="1:8" x14ac:dyDescent="0.2">
      <c r="A2" s="183" t="s">
        <v>130</v>
      </c>
    </row>
    <row r="4" spans="1:8" ht="14.5" customHeight="1" x14ac:dyDescent="0.2">
      <c r="B4" s="179" t="s">
        <v>110</v>
      </c>
      <c r="C4" s="179" t="s">
        <v>117</v>
      </c>
      <c r="D4" s="177" t="s">
        <v>2</v>
      </c>
      <c r="E4" s="221" t="s">
        <v>115</v>
      </c>
      <c r="F4" s="221" t="s">
        <v>114</v>
      </c>
      <c r="G4" s="218" t="s">
        <v>113</v>
      </c>
      <c r="H4" s="220"/>
    </row>
    <row r="5" spans="1:8" ht="17" x14ac:dyDescent="0.2">
      <c r="A5" s="1" t="s">
        <v>111</v>
      </c>
      <c r="B5" s="2" t="s">
        <v>4</v>
      </c>
      <c r="C5" s="2" t="s">
        <v>4</v>
      </c>
      <c r="D5" s="3" t="s">
        <v>4</v>
      </c>
      <c r="E5" s="222"/>
      <c r="F5" s="222"/>
      <c r="G5" s="2" t="s">
        <v>112</v>
      </c>
      <c r="H5" s="4" t="s">
        <v>116</v>
      </c>
    </row>
    <row r="6" spans="1:8" x14ac:dyDescent="0.2">
      <c r="A6" s="5">
        <v>1</v>
      </c>
      <c r="B6" s="6">
        <v>2.5000000000000355E-2</v>
      </c>
      <c r="C6" s="10">
        <v>2.1700000000000941E-2</v>
      </c>
      <c r="D6" s="7">
        <f t="shared" ref="D6:D13" si="0">B6+C6</f>
        <v>4.6700000000001296E-2</v>
      </c>
      <c r="E6" s="7">
        <f>5.5</f>
        <v>5.5</v>
      </c>
      <c r="F6" s="7">
        <f>-3.6337+(2.0761*E6)</f>
        <v>7.7848499999999996</v>
      </c>
      <c r="G6" s="7">
        <f>D6/(3*F6)</f>
        <v>1.9996103542993249E-3</v>
      </c>
      <c r="H6" s="7">
        <f>G6*10^3</f>
        <v>1.9996103542993249</v>
      </c>
    </row>
    <row r="7" spans="1:8" x14ac:dyDescent="0.2">
      <c r="A7">
        <v>2</v>
      </c>
      <c r="B7" s="24">
        <v>8.6199999999999832E-2</v>
      </c>
      <c r="C7" s="24">
        <v>2.8599999999999071E-2</v>
      </c>
      <c r="D7" s="25">
        <f t="shared" si="0"/>
        <v>0.1147999999999989</v>
      </c>
      <c r="E7" s="25">
        <f>3</f>
        <v>3</v>
      </c>
      <c r="F7" s="25">
        <f t="shared" ref="F7:F13" si="1">-3.6337+(2.0761*E7)</f>
        <v>2.5945999999999989</v>
      </c>
      <c r="G7" s="25">
        <f t="shared" ref="G7:G13" si="2">D7/(3*F7)</f>
        <v>1.4748580384901842E-2</v>
      </c>
      <c r="H7" s="25">
        <f t="shared" ref="H7:H13" si="3">G7*10^3</f>
        <v>14.748580384901842</v>
      </c>
    </row>
    <row r="8" spans="1:8" x14ac:dyDescent="0.2">
      <c r="A8" s="5">
        <v>3</v>
      </c>
      <c r="B8" s="19">
        <v>0.10139999999999993</v>
      </c>
      <c r="C8" s="19">
        <v>2.7599999999999625E-2</v>
      </c>
      <c r="D8" s="17">
        <f t="shared" si="0"/>
        <v>0.12899999999999956</v>
      </c>
      <c r="E8" s="17">
        <f>3.9</f>
        <v>3.9</v>
      </c>
      <c r="F8" s="17">
        <f t="shared" si="1"/>
        <v>4.4630899999999984</v>
      </c>
      <c r="G8" s="17">
        <f t="shared" si="2"/>
        <v>9.6345805260480664E-3</v>
      </c>
      <c r="H8" s="17">
        <f t="shared" si="3"/>
        <v>9.634580526048067</v>
      </c>
    </row>
    <row r="9" spans="1:8" x14ac:dyDescent="0.2">
      <c r="A9">
        <v>4</v>
      </c>
      <c r="B9" s="24">
        <v>9.6300000000001162E-2</v>
      </c>
      <c r="C9" s="24">
        <v>2.7300000000000324E-2</v>
      </c>
      <c r="D9" s="25">
        <f t="shared" si="0"/>
        <v>0.12360000000000149</v>
      </c>
      <c r="E9" s="25">
        <f>3.4</f>
        <v>3.4</v>
      </c>
      <c r="F9" s="25">
        <f t="shared" si="1"/>
        <v>3.4250399999999992</v>
      </c>
      <c r="G9" s="25">
        <f t="shared" si="2"/>
        <v>1.2029056594959623E-2</v>
      </c>
      <c r="H9" s="25">
        <f t="shared" si="3"/>
        <v>12.029056594959624</v>
      </c>
    </row>
    <row r="10" spans="1:8" x14ac:dyDescent="0.2">
      <c r="A10" s="5">
        <v>5</v>
      </c>
      <c r="B10" s="19">
        <v>5.0500000000001322E-2</v>
      </c>
      <c r="C10" s="19">
        <v>1.0699999999999932E-2</v>
      </c>
      <c r="D10" s="17">
        <f t="shared" si="0"/>
        <v>6.1200000000001253E-2</v>
      </c>
      <c r="E10" s="17">
        <f>3</f>
        <v>3</v>
      </c>
      <c r="F10" s="17">
        <f t="shared" si="1"/>
        <v>2.5945999999999989</v>
      </c>
      <c r="G10" s="17">
        <f t="shared" si="2"/>
        <v>7.8624836198259562E-3</v>
      </c>
      <c r="H10" s="17">
        <f t="shared" si="3"/>
        <v>7.862483619825956</v>
      </c>
    </row>
    <row r="11" spans="1:8" x14ac:dyDescent="0.2">
      <c r="A11">
        <v>6</v>
      </c>
      <c r="B11" s="24">
        <v>5.400000000000027E-2</v>
      </c>
      <c r="C11" s="24">
        <v>2.0700000000001495E-2</v>
      </c>
      <c r="D11" s="25">
        <f t="shared" si="0"/>
        <v>7.4700000000001765E-2</v>
      </c>
      <c r="E11" s="25">
        <f>3.3</f>
        <v>3.3</v>
      </c>
      <c r="F11" s="25">
        <f t="shared" si="1"/>
        <v>3.2174299999999993</v>
      </c>
      <c r="G11" s="25">
        <f t="shared" si="2"/>
        <v>7.7390961108712844E-3</v>
      </c>
      <c r="H11" s="25">
        <f t="shared" si="3"/>
        <v>7.7390961108712846</v>
      </c>
    </row>
    <row r="12" spans="1:8" x14ac:dyDescent="0.2">
      <c r="A12" s="5">
        <v>7</v>
      </c>
      <c r="B12" s="19">
        <v>0.33760000000000012</v>
      </c>
      <c r="C12" s="19">
        <v>0</v>
      </c>
      <c r="D12" s="17">
        <f t="shared" si="0"/>
        <v>0.33760000000000012</v>
      </c>
      <c r="E12" s="17">
        <f>3.5</f>
        <v>3.5</v>
      </c>
      <c r="F12" s="17">
        <f t="shared" si="1"/>
        <v>3.632649999999999</v>
      </c>
      <c r="G12" s="17">
        <f t="shared" si="2"/>
        <v>3.0978303258869803E-2</v>
      </c>
      <c r="H12" s="17">
        <f t="shared" si="3"/>
        <v>30.978303258869804</v>
      </c>
    </row>
    <row r="13" spans="1:8" x14ac:dyDescent="0.2">
      <c r="A13">
        <v>8</v>
      </c>
      <c r="B13" s="24">
        <v>5.2100000000001145E-2</v>
      </c>
      <c r="C13" s="24">
        <v>0</v>
      </c>
      <c r="D13" s="25">
        <f t="shared" si="0"/>
        <v>5.2100000000001145E-2</v>
      </c>
      <c r="E13" s="25">
        <f>2.8</f>
        <v>2.8</v>
      </c>
      <c r="F13" s="25">
        <f t="shared" si="1"/>
        <v>2.1793799999999992</v>
      </c>
      <c r="G13" s="25">
        <f t="shared" si="2"/>
        <v>7.9686271630771393E-3</v>
      </c>
      <c r="H13" s="25">
        <f t="shared" si="3"/>
        <v>7.968627163077139</v>
      </c>
    </row>
    <row r="15" spans="1:8" x14ac:dyDescent="0.2">
      <c r="G15" s="65" t="s">
        <v>0</v>
      </c>
      <c r="H15" s="15">
        <f>AVERAGE(H6:H13)</f>
        <v>11.620042251606632</v>
      </c>
    </row>
    <row r="16" spans="1:8" x14ac:dyDescent="0.2">
      <c r="G16" s="65" t="s">
        <v>1</v>
      </c>
      <c r="H16" s="15">
        <f>STDEV(H6:H13)</f>
        <v>8.64957391957679</v>
      </c>
    </row>
  </sheetData>
  <mergeCells count="3">
    <mergeCell ref="F4:F5"/>
    <mergeCell ref="E4:E5"/>
    <mergeCell ref="G4:H4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2"/>
  <sheetViews>
    <sheetView workbookViewId="0">
      <pane xSplit="1" ySplit="5" topLeftCell="B6" activePane="bottomRight" state="frozen"/>
      <selection pane="topRight" activeCell="B1" sqref="B1"/>
      <selection pane="bottomLeft" activeCell="A4" sqref="A4"/>
      <selection pane="bottomRight" activeCell="M7" sqref="M7"/>
    </sheetView>
  </sheetViews>
  <sheetFormatPr baseColWidth="10" defaultRowHeight="15" x14ac:dyDescent="0.2"/>
  <cols>
    <col min="1" max="1" width="65.5" customWidth="1"/>
    <col min="2" max="2" width="9.1640625" customWidth="1"/>
    <col min="3" max="3" width="14.83203125" customWidth="1"/>
    <col min="4" max="4" width="19.6640625" customWidth="1"/>
    <col min="5" max="5" width="10.33203125" customWidth="1"/>
    <col min="6" max="6" width="9.5" customWidth="1"/>
    <col min="7" max="7" width="9.1640625" customWidth="1"/>
    <col min="8" max="8" width="13" customWidth="1"/>
    <col min="9" max="9" width="8.33203125" customWidth="1"/>
    <col min="11" max="11" width="9.6640625" customWidth="1"/>
    <col min="12" max="12" width="8.1640625" customWidth="1"/>
  </cols>
  <sheetData>
    <row r="1" spans="1:14" ht="16" x14ac:dyDescent="0.2">
      <c r="A1" s="184" t="s">
        <v>135</v>
      </c>
    </row>
    <row r="2" spans="1:14" x14ac:dyDescent="0.2">
      <c r="A2" s="183" t="s">
        <v>130</v>
      </c>
    </row>
    <row r="4" spans="1:14" ht="14.5" customHeight="1" x14ac:dyDescent="0.2">
      <c r="B4" s="218" t="s">
        <v>110</v>
      </c>
      <c r="C4" s="219"/>
      <c r="D4" s="219"/>
      <c r="E4" s="219"/>
      <c r="F4" s="220"/>
      <c r="G4" s="218" t="s">
        <v>117</v>
      </c>
      <c r="H4" s="219"/>
      <c r="I4" s="219"/>
      <c r="J4" s="219"/>
      <c r="K4" s="220"/>
      <c r="L4" s="223" t="s">
        <v>136</v>
      </c>
      <c r="M4" s="224"/>
      <c r="N4" s="225"/>
    </row>
    <row r="5" spans="1:14" x14ac:dyDescent="0.2">
      <c r="A5" s="1" t="s">
        <v>3</v>
      </c>
      <c r="B5" s="2" t="s">
        <v>4</v>
      </c>
      <c r="C5" s="3" t="s">
        <v>5</v>
      </c>
      <c r="D5" s="3" t="s">
        <v>6</v>
      </c>
      <c r="E5" s="3" t="s">
        <v>7</v>
      </c>
      <c r="F5" s="4" t="s">
        <v>8</v>
      </c>
      <c r="G5" s="2" t="s">
        <v>4</v>
      </c>
      <c r="H5" s="3" t="s">
        <v>5</v>
      </c>
      <c r="I5" s="3" t="s">
        <v>6</v>
      </c>
      <c r="J5" s="3" t="s">
        <v>7</v>
      </c>
      <c r="K5" s="4" t="s">
        <v>8</v>
      </c>
      <c r="L5" s="40" t="s">
        <v>6</v>
      </c>
      <c r="M5" s="41" t="s">
        <v>7</v>
      </c>
      <c r="N5" s="42" t="s">
        <v>8</v>
      </c>
    </row>
    <row r="6" spans="1:14" x14ac:dyDescent="0.2">
      <c r="A6" s="5">
        <v>1</v>
      </c>
      <c r="B6" s="6">
        <v>2.5000000000000355E-2</v>
      </c>
      <c r="C6" s="7">
        <v>43.145065563174384</v>
      </c>
      <c r="D6" s="8">
        <f>B$6*(C6/100)*(28.0855/60.08)</f>
        <v>5.0422384274074212E-3</v>
      </c>
      <c r="E6" s="8">
        <f>AVERAGE(D6:D8)</f>
        <v>4.8704425025728228E-3</v>
      </c>
      <c r="F6" s="9">
        <f>STDEV(D6:D8)</f>
        <v>1.5514539056945455E-4</v>
      </c>
      <c r="G6" s="10">
        <v>2.1700000000000941E-2</v>
      </c>
      <c r="H6" s="7">
        <v>25.58626406679776</v>
      </c>
      <c r="I6" s="8">
        <f>G$6*(H6/100)*(28.0855/60.08)</f>
        <v>2.5954869377535503E-3</v>
      </c>
      <c r="J6" s="8">
        <f>AVERAGE(I6:I8)</f>
        <v>2.678544840167418E-3</v>
      </c>
      <c r="K6" s="11">
        <f>STDEV(I6:I8)</f>
        <v>7.822711607992472E-5</v>
      </c>
      <c r="L6" s="12">
        <f t="shared" ref="L6:L29" si="0">D6+I6</f>
        <v>7.6377253651609715E-3</v>
      </c>
      <c r="M6" s="13">
        <f>AVERAGE(L6:L8)</f>
        <v>7.5489873427402416E-3</v>
      </c>
      <c r="N6" s="14">
        <f>STDEV(L6:L8)</f>
        <v>1.0719654757085707E-4</v>
      </c>
    </row>
    <row r="7" spans="1:14" x14ac:dyDescent="0.2">
      <c r="A7" s="5"/>
      <c r="B7" s="16"/>
      <c r="C7" s="17">
        <v>40.563678085430709</v>
      </c>
      <c r="D7" s="18">
        <f>B$6*(C7/100)*(28.0855/60.08)</f>
        <v>4.7405591747186268E-3</v>
      </c>
      <c r="E7" s="5"/>
      <c r="F7" s="5"/>
      <c r="G7" s="19"/>
      <c r="H7" s="17">
        <v>26.511312861113062</v>
      </c>
      <c r="I7" s="18">
        <f>G$6*(H7/100)*(28.0855/60.08)</f>
        <v>2.6893244771521076E-3</v>
      </c>
      <c r="J7" s="5"/>
      <c r="K7" s="20"/>
      <c r="L7" s="21">
        <f t="shared" si="0"/>
        <v>7.4298836518707344E-3</v>
      </c>
      <c r="M7" s="22"/>
      <c r="N7" s="23"/>
    </row>
    <row r="8" spans="1:14" x14ac:dyDescent="0.2">
      <c r="A8" s="5"/>
      <c r="B8" s="16"/>
      <c r="C8" s="17">
        <v>41.316419750830633</v>
      </c>
      <c r="D8" s="18">
        <f>B$6*(C8/100)*(28.0855/60.08)</f>
        <v>4.8285299055924203E-3</v>
      </c>
      <c r="E8" s="5"/>
      <c r="F8" s="5"/>
      <c r="G8" s="19"/>
      <c r="H8" s="17">
        <v>27.117565246451008</v>
      </c>
      <c r="I8" s="18">
        <f>G$6*(H8/100)*(28.0855/60.08)</f>
        <v>2.7508231055965965E-3</v>
      </c>
      <c r="J8" s="5"/>
      <c r="K8" s="20"/>
      <c r="L8" s="21">
        <f t="shared" si="0"/>
        <v>7.5793530111890172E-3</v>
      </c>
      <c r="M8" s="22"/>
      <c r="N8" s="23"/>
    </row>
    <row r="9" spans="1:14" x14ac:dyDescent="0.2">
      <c r="A9">
        <v>2</v>
      </c>
      <c r="B9" s="24">
        <v>8.6199999999999832E-2</v>
      </c>
      <c r="C9" s="25">
        <v>47.178435074865156</v>
      </c>
      <c r="D9" s="26">
        <f>B$9*(C9/100)*(28.0855/60.08)</f>
        <v>1.9010915559427362E-2</v>
      </c>
      <c r="E9" s="26">
        <f>AVERAGE(D9:D11)</f>
        <v>1.8758765661392084E-2</v>
      </c>
      <c r="F9">
        <f>STDEV(D9:D11)</f>
        <v>5.696415532611749E-4</v>
      </c>
      <c r="G9" s="24">
        <v>2.8599999999999071E-2</v>
      </c>
      <c r="H9" s="25">
        <v>16.114156205735089</v>
      </c>
      <c r="I9" s="26">
        <f>G$9*(H9/100)*(28.0855/60.08)</f>
        <v>2.1543975092746543E-3</v>
      </c>
      <c r="J9" s="26">
        <f>AVERAGE(I9:I11)</f>
        <v>2.1985406247878058E-3</v>
      </c>
      <c r="K9" s="27">
        <f>STDEV(I9:I11)</f>
        <v>7.3405655319811646E-5</v>
      </c>
      <c r="L9" s="28">
        <f t="shared" si="0"/>
        <v>2.1165313068702014E-2</v>
      </c>
      <c r="M9" s="29">
        <f>AVERAGE(L9:L11)</f>
        <v>2.0957306286179894E-2</v>
      </c>
      <c r="N9" s="30">
        <f>STDEV(L9:L11)</f>
        <v>6.1572985691777272E-4</v>
      </c>
    </row>
    <row r="10" spans="1:14" x14ac:dyDescent="0.2">
      <c r="B10" s="24"/>
      <c r="C10" s="25">
        <v>47.545469823542938</v>
      </c>
      <c r="D10" s="26">
        <f t="shared" ref="D10:D11" si="1">B$9*(C10/100)*(28.0855/60.08)</f>
        <v>1.915881505213873E-2</v>
      </c>
      <c r="G10" s="24"/>
      <c r="H10" s="25">
        <v>17.078133676120721</v>
      </c>
      <c r="I10" s="26">
        <f>G$9*(H10/100)*(28.0855/60.08)</f>
        <v>2.2832773981550009E-3</v>
      </c>
      <c r="K10" s="27"/>
      <c r="L10" s="28">
        <f t="shared" si="0"/>
        <v>2.1442092450293732E-2</v>
      </c>
      <c r="M10" s="29"/>
      <c r="N10" s="30"/>
    </row>
    <row r="11" spans="1:14" x14ac:dyDescent="0.2">
      <c r="B11" s="24"/>
      <c r="C11" s="25">
        <v>44.93415708299829</v>
      </c>
      <c r="D11" s="26">
        <f t="shared" si="1"/>
        <v>1.8106566372610162E-2</v>
      </c>
      <c r="G11" s="24"/>
      <c r="H11" s="25">
        <v>16.140704934518094</v>
      </c>
      <c r="I11" s="26">
        <f>G$9*(H11/100)*(28.0855/60.08)</f>
        <v>2.1579469669337622E-3</v>
      </c>
      <c r="K11" s="27"/>
      <c r="L11" s="28">
        <f t="shared" si="0"/>
        <v>2.0264513339543926E-2</v>
      </c>
      <c r="M11" s="29"/>
      <c r="N11" s="30"/>
    </row>
    <row r="12" spans="1:14" x14ac:dyDescent="0.2">
      <c r="A12" s="5">
        <v>3</v>
      </c>
      <c r="B12" s="19">
        <v>0.10139999999999993</v>
      </c>
      <c r="C12" s="17">
        <v>42.173263092929446</v>
      </c>
      <c r="D12" s="18">
        <f>B$12*(C12/100)*(28.0855/60.08)</f>
        <v>1.9990672122583555E-2</v>
      </c>
      <c r="E12" s="18">
        <f>AVERAGE(D12:D14)</f>
        <v>2.0076675340128063E-2</v>
      </c>
      <c r="F12" s="5">
        <f>STDEV(D12:D14)</f>
        <v>5.6471852836259854E-4</v>
      </c>
      <c r="G12" s="19">
        <v>2.7599999999999625E-2</v>
      </c>
      <c r="H12" s="17">
        <v>18.21400180225012</v>
      </c>
      <c r="I12" s="18">
        <f>G$12*(H12/100)*(28.0855/60.08)</f>
        <v>2.3499936741397556E-3</v>
      </c>
      <c r="J12" s="18">
        <f>AVERAGE(I12:I14)</f>
        <v>1.9613606241690629E-3</v>
      </c>
      <c r="K12" s="20">
        <f>STDEV(I12:I14)</f>
        <v>3.4484898423917728E-4</v>
      </c>
      <c r="L12" s="21">
        <f t="shared" si="0"/>
        <v>2.2340665796723311E-2</v>
      </c>
      <c r="M12" s="22">
        <f>AVERAGE(L12:L14)</f>
        <v>2.2038035964297126E-2</v>
      </c>
      <c r="N12" s="23">
        <f>STDEV(L12:L14)</f>
        <v>5.5098290888893275E-4</v>
      </c>
    </row>
    <row r="13" spans="1:14" x14ac:dyDescent="0.2">
      <c r="A13" s="5"/>
      <c r="B13" s="19"/>
      <c r="C13" s="17">
        <v>41.264468288014768</v>
      </c>
      <c r="D13" s="18">
        <f>B$12*(C13/100)*(28.0855/60.08)</f>
        <v>1.9559891631832235E-2</v>
      </c>
      <c r="E13" s="5"/>
      <c r="F13" s="5"/>
      <c r="G13" s="19"/>
      <c r="H13" s="17">
        <v>14.278042759430345</v>
      </c>
      <c r="I13" s="18">
        <f>G$12*(H13/100)*(28.0855/60.08)</f>
        <v>1.8421712333207931E-3</v>
      </c>
      <c r="J13" s="5"/>
      <c r="K13" s="20"/>
      <c r="L13" s="21">
        <f t="shared" si="0"/>
        <v>2.1402062865153029E-2</v>
      </c>
      <c r="M13" s="22"/>
      <c r="N13" s="23"/>
    </row>
    <row r="14" spans="1:14" x14ac:dyDescent="0.2">
      <c r="A14" s="5"/>
      <c r="B14" s="19"/>
      <c r="C14" s="17">
        <v>43.626367208421868</v>
      </c>
      <c r="D14" s="18">
        <f>B$12*(C14/100)*(28.0855/60.08)</f>
        <v>2.0679462265968399E-2</v>
      </c>
      <c r="E14" s="5"/>
      <c r="F14" s="5"/>
      <c r="G14" s="19"/>
      <c r="H14" s="17">
        <v>13.11347302324031</v>
      </c>
      <c r="I14" s="18">
        <f>G$12*(H14/100)*(28.0855/60.08)</f>
        <v>1.6919169650466406E-3</v>
      </c>
      <c r="J14" s="5"/>
      <c r="K14" s="20"/>
      <c r="L14" s="21">
        <f t="shared" si="0"/>
        <v>2.2371379231015041E-2</v>
      </c>
      <c r="M14" s="22"/>
      <c r="N14" s="23"/>
    </row>
    <row r="15" spans="1:14" x14ac:dyDescent="0.2">
      <c r="A15">
        <v>4</v>
      </c>
      <c r="B15" s="24">
        <v>9.6300000000001162E-2</v>
      </c>
      <c r="C15" s="25">
        <v>23.537788391332867</v>
      </c>
      <c r="D15" s="26">
        <f>B$15*(C15/100)*(28.0855/60.08)</f>
        <v>1.0596054349164281E-2</v>
      </c>
      <c r="E15" s="26">
        <f>AVERAGE(D15:D17)</f>
        <v>1.061144025267486E-2</v>
      </c>
      <c r="F15">
        <f>STDEV(D15:D17)</f>
        <v>2.6757873810067344E-4</v>
      </c>
      <c r="G15" s="24">
        <v>2.7300000000000324E-2</v>
      </c>
      <c r="H15" s="25">
        <v>10.709898896881212</v>
      </c>
      <c r="I15" s="26">
        <f>G$15*(H15/100)*(28.0855/60.08)</f>
        <v>1.3667851576708143E-3</v>
      </c>
      <c r="J15" s="26">
        <f>AVERAGE(I15:I17)</f>
        <v>1.8879379471955407E-3</v>
      </c>
      <c r="K15" s="27">
        <f>STDEV(I15:I17)</f>
        <v>4.6723520705105385E-4</v>
      </c>
      <c r="L15" s="28">
        <f t="shared" si="0"/>
        <v>1.1962839506835096E-2</v>
      </c>
      <c r="M15" s="29">
        <f>AVERAGE(L15:L17)</f>
        <v>1.2499378199870398E-2</v>
      </c>
      <c r="N15" s="30">
        <f>STDEV(L15:L17)</f>
        <v>6.0542280553418796E-4</v>
      </c>
    </row>
    <row r="16" spans="1:14" x14ac:dyDescent="0.2">
      <c r="B16" s="24"/>
      <c r="C16" s="25">
        <v>24.182709880822781</v>
      </c>
      <c r="D16" s="26">
        <f>B$15*(C16/100)*(28.0855/60.08)</f>
        <v>1.0886379975343139E-2</v>
      </c>
      <c r="G16" s="24"/>
      <c r="H16" s="25">
        <v>17.782482368502198</v>
      </c>
      <c r="I16" s="26">
        <f>G$15*(H16/100)*(28.0855/60.08)</f>
        <v>2.2693802436257789E-3</v>
      </c>
      <c r="K16" s="27"/>
      <c r="L16" s="28">
        <f t="shared" si="0"/>
        <v>1.3155760218968918E-2</v>
      </c>
      <c r="M16" s="29"/>
      <c r="N16" s="30"/>
    </row>
    <row r="17" spans="1:14" x14ac:dyDescent="0.2">
      <c r="B17" s="24"/>
      <c r="C17" s="25">
        <v>22.995400390944006</v>
      </c>
      <c r="D17" s="26">
        <f>B$15*(C17/100)*(28.0855/60.08)</f>
        <v>1.0351886433517156E-2</v>
      </c>
      <c r="G17" s="24"/>
      <c r="H17" s="25">
        <v>15.888312564742737</v>
      </c>
      <c r="I17" s="26">
        <f>G$15*(H17/100)*(28.0855/60.08)</f>
        <v>2.0276484402900279E-3</v>
      </c>
      <c r="K17" s="27"/>
      <c r="L17" s="28">
        <f t="shared" si="0"/>
        <v>1.2379534873807184E-2</v>
      </c>
      <c r="M17" s="29"/>
      <c r="N17" s="30"/>
    </row>
    <row r="18" spans="1:14" x14ac:dyDescent="0.2">
      <c r="A18" s="5">
        <v>5</v>
      </c>
      <c r="B18" s="19">
        <v>5.0500000000001322E-2</v>
      </c>
      <c r="C18" s="17">
        <v>29.004304378146841</v>
      </c>
      <c r="D18" s="18">
        <f>B$18*(C18/100)*(28.0855/60.08)</f>
        <v>6.8470905003211466E-3</v>
      </c>
      <c r="E18" s="18">
        <f>AVERAGE(D18:D20)</f>
        <v>7.4588226419794986E-3</v>
      </c>
      <c r="F18" s="5">
        <f>STDEV(D18:D20)</f>
        <v>6.1679619387480355E-4</v>
      </c>
      <c r="G18" s="19">
        <v>1.0699999999999932E-2</v>
      </c>
      <c r="H18" s="17">
        <v>5.7545663054075424</v>
      </c>
      <c r="I18" s="18">
        <f>G$18*(H18/100)*(28.0855/60.08)</f>
        <v>2.8783832058664963E-4</v>
      </c>
      <c r="J18" s="18">
        <f>AVERAGE(I18:I20)</f>
        <v>2.8114493954839432E-4</v>
      </c>
      <c r="K18" s="20">
        <f>STDEV(I18:I20)</f>
        <v>9.401297571496683E-6</v>
      </c>
      <c r="L18" s="21">
        <f t="shared" si="0"/>
        <v>7.1349288209077962E-3</v>
      </c>
      <c r="M18" s="22">
        <f>AVERAGE(L18:L20)</f>
        <v>7.7399675815278931E-3</v>
      </c>
      <c r="N18" s="23">
        <f>STDEV(L18:L20)</f>
        <v>6.1567849120684585E-4</v>
      </c>
    </row>
    <row r="19" spans="1:14" x14ac:dyDescent="0.2">
      <c r="A19" s="5"/>
      <c r="B19" s="19"/>
      <c r="C19" s="17">
        <v>31.55321739061791</v>
      </c>
      <c r="D19" s="18">
        <f>B$18*(C19/100)*(28.0855/60.08)</f>
        <v>7.4488162940617901E-3</v>
      </c>
      <c r="E19" s="5"/>
      <c r="F19" s="5"/>
      <c r="G19" s="19"/>
      <c r="H19" s="17">
        <v>5.4058665941081872</v>
      </c>
      <c r="I19" s="18">
        <f>G$18*(H19/100)*(28.0855/60.08)</f>
        <v>2.7039666921578273E-4</v>
      </c>
      <c r="J19" s="5"/>
      <c r="K19" s="20"/>
      <c r="L19" s="21">
        <f t="shared" si="0"/>
        <v>7.7192129632775728E-3</v>
      </c>
      <c r="M19" s="22"/>
      <c r="N19" s="23"/>
    </row>
    <row r="20" spans="1:14" x14ac:dyDescent="0.2">
      <c r="A20" s="5"/>
      <c r="B20" s="19"/>
      <c r="C20" s="17">
        <v>34.22929119965152</v>
      </c>
      <c r="D20" s="18">
        <f>B$18*(C20/100)*(28.0855/60.08)</f>
        <v>8.0805611315555616E-3</v>
      </c>
      <c r="E20" s="5"/>
      <c r="F20" s="5"/>
      <c r="G20" s="19"/>
      <c r="H20" s="17">
        <v>5.7018166379706567</v>
      </c>
      <c r="I20" s="18">
        <f>G$18*(H20/100)*(28.0855/60.08)</f>
        <v>2.8519982884275054E-4</v>
      </c>
      <c r="J20" s="5"/>
      <c r="K20" s="20"/>
      <c r="L20" s="21">
        <f t="shared" si="0"/>
        <v>8.3657609603983128E-3</v>
      </c>
      <c r="M20" s="22"/>
      <c r="N20" s="23"/>
    </row>
    <row r="21" spans="1:14" x14ac:dyDescent="0.2">
      <c r="A21">
        <v>6</v>
      </c>
      <c r="B21" s="24">
        <v>5.400000000000027E-2</v>
      </c>
      <c r="C21" s="25">
        <v>31.032134967058884</v>
      </c>
      <c r="D21" s="26">
        <f>B$21*(C21/100)*(28.0855/60.08)</f>
        <v>7.8335325295166743E-3</v>
      </c>
      <c r="E21" s="26">
        <f>AVERAGE(D21:D23)</f>
        <v>6.9755834143201967E-3</v>
      </c>
      <c r="F21">
        <f>STDEV(D21:D23)</f>
        <v>8.0024775335888409E-4</v>
      </c>
      <c r="G21" s="24">
        <v>2.0700000000001495E-2</v>
      </c>
      <c r="H21" s="25">
        <v>7.2778569325917211</v>
      </c>
      <c r="I21" s="26">
        <f>G$21*(H21/100)*(28.0855/60.08)</f>
        <v>7.0424876718086136E-4</v>
      </c>
      <c r="J21" s="26">
        <f>AVERAGE(I21:I23)</f>
        <v>8.6484252257520869E-4</v>
      </c>
      <c r="K21" s="27">
        <f>STDEV(I21:I23)</f>
        <v>1.4068211121955908E-4</v>
      </c>
      <c r="L21" s="28">
        <f t="shared" si="0"/>
        <v>8.5377812966975358E-3</v>
      </c>
      <c r="M21" s="29">
        <f>AVERAGE(L21:L23)</f>
        <v>7.8404259368954066E-3</v>
      </c>
      <c r="N21" s="30">
        <f>STDEV(L21:L23)</f>
        <v>6.6402142594422834E-4</v>
      </c>
    </row>
    <row r="22" spans="1:14" x14ac:dyDescent="0.2">
      <c r="B22" s="24"/>
      <c r="C22" s="25">
        <v>24.756636700329025</v>
      </c>
      <c r="D22" s="26">
        <f>B$21*(C22/100)*(28.0855/60.08)</f>
        <v>6.2493901602102353E-3</v>
      </c>
      <c r="G22" s="24"/>
      <c r="H22" s="25">
        <v>9.9861747217488244</v>
      </c>
      <c r="I22" s="26">
        <f>G$21*(H22/100)*(28.0855/60.08)</f>
        <v>9.6632172104815664E-4</v>
      </c>
      <c r="K22" s="27"/>
      <c r="L22" s="28">
        <f t="shared" si="0"/>
        <v>7.2157118812583923E-3</v>
      </c>
      <c r="M22" s="29"/>
      <c r="N22" s="30"/>
    </row>
    <row r="23" spans="1:14" x14ac:dyDescent="0.2">
      <c r="B23" s="24"/>
      <c r="C23" s="25">
        <v>27.111469764500697</v>
      </c>
      <c r="D23" s="26">
        <f>B$21*(C23/100)*(28.0855/60.08)</f>
        <v>6.8438275532336813E-3</v>
      </c>
      <c r="G23" s="24"/>
      <c r="H23" s="25">
        <v>9.5483694822069296</v>
      </c>
      <c r="I23" s="26">
        <f>G$21*(H23/100)*(28.0855/60.08)</f>
        <v>9.2395707949660807E-4</v>
      </c>
      <c r="K23" s="27"/>
      <c r="L23" s="28">
        <f t="shared" si="0"/>
        <v>7.7677846327302898E-3</v>
      </c>
      <c r="M23" s="29"/>
      <c r="N23" s="30"/>
    </row>
    <row r="24" spans="1:14" x14ac:dyDescent="0.2">
      <c r="A24" s="5">
        <v>7</v>
      </c>
      <c r="B24" s="19">
        <v>0.33760000000000012</v>
      </c>
      <c r="C24" s="17">
        <v>30.345094731225956</v>
      </c>
      <c r="D24" s="18">
        <f>B$24*(C24/100)*(28.0855/60.08)</f>
        <v>4.7889816339169569E-2</v>
      </c>
      <c r="E24" s="18">
        <f>AVERAGE(D24:D26)</f>
        <v>4.7443918746767011E-2</v>
      </c>
      <c r="F24" s="5">
        <f>STDEV(D24:D26)</f>
        <v>1.4489887083089313E-3</v>
      </c>
      <c r="G24" s="19">
        <v>0</v>
      </c>
      <c r="H24" s="5"/>
      <c r="I24" s="5"/>
      <c r="J24" s="5"/>
      <c r="K24" s="20"/>
      <c r="L24" s="21">
        <f t="shared" si="0"/>
        <v>4.7889816339169569E-2</v>
      </c>
      <c r="M24" s="22">
        <f>AVERAGE(L24:L26)</f>
        <v>4.7443918746767011E-2</v>
      </c>
      <c r="N24" s="23">
        <f>STDEV(L24:L26)</f>
        <v>1.4489887083089313E-3</v>
      </c>
    </row>
    <row r="25" spans="1:14" x14ac:dyDescent="0.2">
      <c r="A25" s="5"/>
      <c r="B25" s="19"/>
      <c r="C25" s="17">
        <v>30.806221961729705</v>
      </c>
      <c r="D25" s="18">
        <f>B$24*(C25/100)*(28.0855/60.08)</f>
        <v>4.8617554992596478E-2</v>
      </c>
      <c r="E25" s="5"/>
      <c r="F25" s="5"/>
      <c r="G25" s="19"/>
      <c r="H25" s="5"/>
      <c r="I25" s="5"/>
      <c r="J25" s="5"/>
      <c r="K25" s="20"/>
      <c r="L25" s="21">
        <f t="shared" si="0"/>
        <v>4.8617554992596478E-2</v>
      </c>
      <c r="M25" s="22"/>
      <c r="N25" s="23"/>
    </row>
    <row r="26" spans="1:14" x14ac:dyDescent="0.2">
      <c r="A26" s="5"/>
      <c r="B26" s="19"/>
      <c r="C26" s="17">
        <v>29.036346500087014</v>
      </c>
      <c r="D26" s="18">
        <f>B$24*(C26/100)*(28.0855/60.08)</f>
        <v>4.5824384908535007E-2</v>
      </c>
      <c r="E26" s="5"/>
      <c r="F26" s="5"/>
      <c r="G26" s="19"/>
      <c r="H26" s="5"/>
      <c r="I26" s="5"/>
      <c r="J26" s="5"/>
      <c r="K26" s="20"/>
      <c r="L26" s="21">
        <f t="shared" si="0"/>
        <v>4.5824384908535007E-2</v>
      </c>
      <c r="M26" s="22"/>
      <c r="N26" s="23"/>
    </row>
    <row r="27" spans="1:14" x14ac:dyDescent="0.2">
      <c r="A27">
        <v>8</v>
      </c>
      <c r="B27" s="24">
        <v>5.2100000000001145E-2</v>
      </c>
      <c r="C27" s="25">
        <v>25.519247501646007</v>
      </c>
      <c r="D27" s="26">
        <f>B$27*(C27/100)*(28.0855/60.08)</f>
        <v>6.2152388514248461E-3</v>
      </c>
      <c r="E27" s="26">
        <f>AVERAGE(D27:D29)</f>
        <v>6.1210685455824025E-3</v>
      </c>
      <c r="F27">
        <f>STDEV(D27:D29)</f>
        <v>3.0115419229993605E-4</v>
      </c>
      <c r="G27" s="24">
        <v>0</v>
      </c>
      <c r="K27" s="27"/>
      <c r="L27" s="28">
        <f t="shared" si="0"/>
        <v>6.2152388514248461E-3</v>
      </c>
      <c r="M27" s="29">
        <f>AVERAGE(L27:L29)</f>
        <v>6.1210685455824025E-3</v>
      </c>
      <c r="N27" s="30">
        <f>STDEV(L27:L29)</f>
        <v>3.0115419229993605E-4</v>
      </c>
    </row>
    <row r="28" spans="1:14" x14ac:dyDescent="0.2">
      <c r="B28" s="31"/>
      <c r="C28" s="25">
        <v>26.129575158633266</v>
      </c>
      <c r="D28">
        <f>B$27*(C28/100)*(28.0855/60.08)</f>
        <v>6.3638847770369411E-3</v>
      </c>
      <c r="G28" s="24"/>
      <c r="K28" s="27"/>
      <c r="L28" s="28">
        <f t="shared" si="0"/>
        <v>6.3638847770369411E-3</v>
      </c>
      <c r="M28" s="29"/>
      <c r="N28" s="30"/>
    </row>
    <row r="29" spans="1:14" x14ac:dyDescent="0.2">
      <c r="B29" s="32"/>
      <c r="C29" s="33">
        <v>23.748953800128653</v>
      </c>
      <c r="D29" s="34">
        <f>B$27*(C29/100)*(28.0855/60.08)</f>
        <v>5.7840820082854204E-3</v>
      </c>
      <c r="E29" s="34"/>
      <c r="F29" s="34"/>
      <c r="G29" s="35"/>
      <c r="H29" s="34"/>
      <c r="I29" s="34"/>
      <c r="J29" s="34"/>
      <c r="K29" s="36"/>
      <c r="L29" s="37">
        <f t="shared" si="0"/>
        <v>5.7840820082854204E-3</v>
      </c>
      <c r="M29" s="38"/>
      <c r="N29" s="39"/>
    </row>
    <row r="31" spans="1:14" x14ac:dyDescent="0.2">
      <c r="K31" s="1" t="s">
        <v>0</v>
      </c>
      <c r="L31" s="29">
        <f>AVERAGE(L6:L29)</f>
        <v>1.6523636075482545E-2</v>
      </c>
      <c r="M31" s="29">
        <f>AVERAGE(M27,M24,M21,M18,M15,M12,M9,M6)</f>
        <v>1.6523636075482549E-2</v>
      </c>
    </row>
    <row r="32" spans="1:14" x14ac:dyDescent="0.2">
      <c r="K32" s="1" t="s">
        <v>1</v>
      </c>
      <c r="L32" s="29">
        <f>STDEV(L6:L29)</f>
        <v>1.3349876686246541E-2</v>
      </c>
      <c r="M32" s="29">
        <f>STDEV(M27,M24,M21,M18,M15,M12,M9,M6)</f>
        <v>1.3957247329947796E-2</v>
      </c>
    </row>
  </sheetData>
  <mergeCells count="3">
    <mergeCell ref="B4:F4"/>
    <mergeCell ref="G4:K4"/>
    <mergeCell ref="L4:N4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4"/>
  <sheetViews>
    <sheetView workbookViewId="0">
      <pane ySplit="6" topLeftCell="A7" activePane="bottomLeft" state="frozen"/>
      <selection pane="bottomLeft" activeCell="L23" sqref="L23"/>
    </sheetView>
  </sheetViews>
  <sheetFormatPr baseColWidth="10" defaultRowHeight="15" x14ac:dyDescent="0.2"/>
  <cols>
    <col min="1" max="1" width="18.1640625" customWidth="1"/>
    <col min="2" max="2" width="13.83203125" customWidth="1"/>
  </cols>
  <sheetData>
    <row r="1" spans="1:4" x14ac:dyDescent="0.2">
      <c r="A1" s="195" t="s">
        <v>138</v>
      </c>
    </row>
    <row r="2" spans="1:4" x14ac:dyDescent="0.2">
      <c r="A2" s="183" t="s">
        <v>122</v>
      </c>
    </row>
    <row r="3" spans="1:4" s="34" customFormat="1" x14ac:dyDescent="0.2"/>
    <row r="4" spans="1:4" x14ac:dyDescent="0.2">
      <c r="A4" s="201" t="s">
        <v>137</v>
      </c>
      <c r="B4" s="201"/>
      <c r="C4" s="201"/>
      <c r="D4" s="201"/>
    </row>
    <row r="5" spans="1:4" x14ac:dyDescent="0.2">
      <c r="B5" s="44" t="s">
        <v>10</v>
      </c>
      <c r="C5" s="226"/>
      <c r="D5" s="226"/>
    </row>
    <row r="6" spans="1:4" x14ac:dyDescent="0.2">
      <c r="A6" s="43" t="s">
        <v>9</v>
      </c>
      <c r="B6" s="43" t="s">
        <v>5</v>
      </c>
    </row>
    <row r="7" spans="1:4" x14ac:dyDescent="0.2">
      <c r="A7" t="s">
        <v>11</v>
      </c>
      <c r="B7" s="45">
        <v>0.12860966790232922</v>
      </c>
    </row>
    <row r="8" spans="1:4" x14ac:dyDescent="0.2">
      <c r="A8" t="s">
        <v>12</v>
      </c>
      <c r="B8" s="45">
        <v>0.30738536154814011</v>
      </c>
    </row>
    <row r="9" spans="1:4" x14ac:dyDescent="0.2">
      <c r="A9" t="s">
        <v>13</v>
      </c>
      <c r="B9" s="45">
        <v>0.20990679214555788</v>
      </c>
    </row>
    <row r="10" spans="1:4" x14ac:dyDescent="0.2">
      <c r="A10" t="s">
        <v>14</v>
      </c>
      <c r="B10" s="45">
        <v>0.16352537492896232</v>
      </c>
    </row>
    <row r="11" spans="1:4" x14ac:dyDescent="0.2">
      <c r="A11" t="s">
        <v>15</v>
      </c>
      <c r="B11" s="45">
        <v>0.25259424919979262</v>
      </c>
    </row>
    <row r="12" spans="1:4" x14ac:dyDescent="0.2">
      <c r="A12" t="s">
        <v>16</v>
      </c>
      <c r="B12" s="45">
        <v>0.15312125202869081</v>
      </c>
    </row>
    <row r="13" spans="1:4" x14ac:dyDescent="0.2">
      <c r="A13" t="s">
        <v>17</v>
      </c>
      <c r="B13" s="45">
        <v>0.21280733859902382</v>
      </c>
    </row>
    <row r="14" spans="1:4" x14ac:dyDescent="0.2">
      <c r="A14" t="s">
        <v>18</v>
      </c>
      <c r="B14" s="45">
        <v>0.27428970334943525</v>
      </c>
    </row>
    <row r="15" spans="1:4" x14ac:dyDescent="0.2">
      <c r="A15" t="s">
        <v>19</v>
      </c>
      <c r="B15" s="45">
        <v>0.32245351114116166</v>
      </c>
    </row>
    <row r="16" spans="1:4" x14ac:dyDescent="0.2">
      <c r="A16" t="s">
        <v>20</v>
      </c>
      <c r="B16" s="45">
        <v>0.17585763030486476</v>
      </c>
    </row>
    <row r="17" spans="1:4" x14ac:dyDescent="0.2">
      <c r="A17" t="s">
        <v>21</v>
      </c>
      <c r="B17" s="45">
        <v>0.15077540140563001</v>
      </c>
    </row>
    <row r="18" spans="1:4" x14ac:dyDescent="0.2">
      <c r="A18" t="s">
        <v>22</v>
      </c>
      <c r="B18" s="45">
        <v>0.22989378254040368</v>
      </c>
    </row>
    <row r="19" spans="1:4" x14ac:dyDescent="0.2">
      <c r="A19" t="s">
        <v>23</v>
      </c>
      <c r="B19" s="45">
        <v>0.20302288995373069</v>
      </c>
    </row>
    <row r="20" spans="1:4" x14ac:dyDescent="0.2">
      <c r="A20" t="s">
        <v>24</v>
      </c>
      <c r="B20" s="45">
        <v>0.18658014400655079</v>
      </c>
    </row>
    <row r="21" spans="1:4" x14ac:dyDescent="0.2">
      <c r="A21" t="s">
        <v>25</v>
      </c>
      <c r="B21" s="45">
        <v>0.15044149150169078</v>
      </c>
    </row>
    <row r="22" spans="1:4" x14ac:dyDescent="0.2">
      <c r="A22" t="s">
        <v>26</v>
      </c>
      <c r="B22" s="45">
        <v>0.26125170280963095</v>
      </c>
    </row>
    <row r="23" spans="1:4" x14ac:dyDescent="0.2">
      <c r="A23" t="s">
        <v>27</v>
      </c>
      <c r="B23" s="45">
        <v>0.17969763796382432</v>
      </c>
      <c r="C23" s="43" t="s">
        <v>0</v>
      </c>
      <c r="D23" s="43" t="s">
        <v>1</v>
      </c>
    </row>
    <row r="24" spans="1:4" x14ac:dyDescent="0.2">
      <c r="A24" t="s">
        <v>28</v>
      </c>
      <c r="B24" s="45">
        <v>0.19558230529829734</v>
      </c>
      <c r="C24" s="180">
        <f>AVERAGE(B7:B24)</f>
        <v>0.20876645759042875</v>
      </c>
      <c r="D24" s="180">
        <f>STDEV(B7:B24)</f>
        <v>5.5858723645287774E-2</v>
      </c>
    </row>
  </sheetData>
  <mergeCells count="1">
    <mergeCell ref="C5:D5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52"/>
  <sheetViews>
    <sheetView topLeftCell="D4" workbookViewId="0">
      <selection activeCell="K9" sqref="K9"/>
    </sheetView>
  </sheetViews>
  <sheetFormatPr baseColWidth="10" defaultRowHeight="15" x14ac:dyDescent="0.2"/>
  <cols>
    <col min="1" max="1" width="3.33203125" customWidth="1"/>
    <col min="2" max="2" width="3.5" customWidth="1"/>
    <col min="3" max="3" width="7.33203125" customWidth="1"/>
    <col min="7" max="7" width="6.33203125" customWidth="1"/>
    <col min="8" max="8" width="6.83203125" customWidth="1"/>
    <col min="9" max="9" width="17.1640625" customWidth="1"/>
    <col min="10" max="10" width="17.6640625" customWidth="1"/>
    <col min="11" max="11" width="2.33203125" customWidth="1"/>
    <col min="12" max="12" width="3.33203125" customWidth="1"/>
    <col min="13" max="13" width="7.33203125" customWidth="1"/>
    <col min="14" max="14" width="10.6640625" customWidth="1"/>
    <col min="17" max="18" width="6.83203125" customWidth="1"/>
    <col min="19" max="19" width="14" customWidth="1"/>
    <col min="20" max="20" width="17.83203125" customWidth="1"/>
    <col min="21" max="21" width="2.33203125" customWidth="1"/>
    <col min="22" max="22" width="3.5" customWidth="1"/>
    <col min="23" max="23" width="11.33203125" customWidth="1"/>
    <col min="26" max="26" width="10.5" customWidth="1"/>
    <col min="27" max="27" width="17.83203125" customWidth="1"/>
    <col min="28" max="28" width="13.33203125" customWidth="1"/>
    <col min="29" max="29" width="2.33203125" customWidth="1"/>
    <col min="30" max="30" width="3.6640625" customWidth="1"/>
    <col min="31" max="31" width="10.1640625" customWidth="1"/>
    <col min="32" max="32" width="8.5" customWidth="1"/>
    <col min="33" max="34" width="4.6640625" customWidth="1"/>
    <col min="37" max="37" width="9.33203125" customWidth="1"/>
    <col min="38" max="38" width="22.5" customWidth="1"/>
    <col min="39" max="39" width="20.6640625" customWidth="1"/>
    <col min="40" max="40" width="2.33203125" customWidth="1"/>
  </cols>
  <sheetData>
    <row r="1" spans="1:40" ht="16" x14ac:dyDescent="0.2">
      <c r="A1" s="202" t="s">
        <v>139</v>
      </c>
    </row>
    <row r="3" spans="1:40" x14ac:dyDescent="0.2">
      <c r="A3" s="59" t="s">
        <v>118</v>
      </c>
      <c r="E3" t="s">
        <v>75</v>
      </c>
      <c r="K3" s="61"/>
      <c r="L3" s="54"/>
      <c r="U3" s="61"/>
      <c r="V3" s="54"/>
      <c r="AC3" s="61"/>
      <c r="AN3" s="61"/>
    </row>
    <row r="4" spans="1:40" x14ac:dyDescent="0.2">
      <c r="A4" t="s">
        <v>96</v>
      </c>
      <c r="E4" t="s">
        <v>76</v>
      </c>
      <c r="K4" s="61"/>
      <c r="U4" s="61"/>
      <c r="V4" s="54"/>
      <c r="AC4" s="61"/>
      <c r="AN4" s="61"/>
    </row>
    <row r="5" spans="1:40" ht="14.5" customHeight="1" x14ac:dyDescent="0.2">
      <c r="B5" s="54" t="s">
        <v>58</v>
      </c>
      <c r="K5" s="61"/>
      <c r="L5" s="54" t="s">
        <v>59</v>
      </c>
      <c r="U5" s="61"/>
      <c r="V5" s="54"/>
      <c r="X5" t="s">
        <v>95</v>
      </c>
      <c r="AA5" s="162" t="s">
        <v>104</v>
      </c>
      <c r="AB5" s="97"/>
      <c r="AC5" s="61"/>
      <c r="AE5" s="227" t="s">
        <v>92</v>
      </c>
      <c r="AF5" s="227"/>
      <c r="AG5" s="228" t="s">
        <v>77</v>
      </c>
      <c r="AH5" s="229"/>
      <c r="AI5" s="230"/>
      <c r="AK5" s="98" t="s">
        <v>82</v>
      </c>
      <c r="AL5" s="231" t="s">
        <v>80</v>
      </c>
      <c r="AM5" s="231"/>
      <c r="AN5" s="61"/>
    </row>
    <row r="6" spans="1:40" ht="32" x14ac:dyDescent="0.2">
      <c r="B6" s="54" t="s">
        <v>60</v>
      </c>
      <c r="C6" s="98" t="s">
        <v>140</v>
      </c>
      <c r="D6" s="54" t="s">
        <v>61</v>
      </c>
      <c r="E6" s="54" t="s">
        <v>62</v>
      </c>
      <c r="F6" s="54" t="s">
        <v>63</v>
      </c>
      <c r="G6" s="54" t="s">
        <v>64</v>
      </c>
      <c r="H6" s="54" t="s">
        <v>64</v>
      </c>
      <c r="I6" s="54" t="s">
        <v>65</v>
      </c>
      <c r="J6" s="54" t="s">
        <v>66</v>
      </c>
      <c r="K6" s="60"/>
      <c r="L6" s="54" t="s">
        <v>60</v>
      </c>
      <c r="M6" s="98" t="s">
        <v>140</v>
      </c>
      <c r="N6" s="54" t="s">
        <v>61</v>
      </c>
      <c r="O6" s="54" t="s">
        <v>62</v>
      </c>
      <c r="P6" s="54" t="s">
        <v>63</v>
      </c>
      <c r="Q6" s="54" t="s">
        <v>64</v>
      </c>
      <c r="R6" s="54" t="s">
        <v>64</v>
      </c>
      <c r="S6" s="54" t="s">
        <v>74</v>
      </c>
      <c r="T6" s="54" t="s">
        <v>66</v>
      </c>
      <c r="U6" s="60"/>
      <c r="V6" s="55" t="s">
        <v>60</v>
      </c>
      <c r="W6" s="59" t="s">
        <v>120</v>
      </c>
      <c r="X6" s="59" t="s">
        <v>62</v>
      </c>
      <c r="Y6" s="59" t="s">
        <v>61</v>
      </c>
      <c r="Z6" s="59" t="s">
        <v>97</v>
      </c>
      <c r="AA6" s="59" t="s">
        <v>67</v>
      </c>
      <c r="AB6" s="87" t="s">
        <v>90</v>
      </c>
      <c r="AC6" s="60"/>
      <c r="AD6" s="54" t="s">
        <v>60</v>
      </c>
      <c r="AE6" s="98" t="s">
        <v>93</v>
      </c>
      <c r="AF6" s="98" t="s">
        <v>94</v>
      </c>
      <c r="AG6" s="86" t="s">
        <v>78</v>
      </c>
      <c r="AH6" s="87" t="s">
        <v>79</v>
      </c>
      <c r="AI6" s="88" t="s">
        <v>83</v>
      </c>
      <c r="AJ6" s="87" t="s">
        <v>68</v>
      </c>
      <c r="AK6" s="98" t="s">
        <v>121</v>
      </c>
      <c r="AL6" s="87" t="s">
        <v>81</v>
      </c>
      <c r="AM6" s="87" t="s">
        <v>91</v>
      </c>
      <c r="AN6" s="60"/>
    </row>
    <row r="7" spans="1:40" x14ac:dyDescent="0.2">
      <c r="B7" s="104">
        <v>1</v>
      </c>
      <c r="C7" s="105" t="s">
        <v>69</v>
      </c>
      <c r="D7" s="106">
        <f>AVERAGE(2,0.8)</f>
        <v>1.4</v>
      </c>
      <c r="E7" s="106">
        <v>3</v>
      </c>
      <c r="F7" s="106">
        <v>1</v>
      </c>
      <c r="G7" s="105"/>
      <c r="H7" s="105"/>
      <c r="I7" s="107">
        <f>D7*E7*F7</f>
        <v>4.1999999999999993</v>
      </c>
      <c r="J7" s="108">
        <f>I7</f>
        <v>4.1999999999999993</v>
      </c>
      <c r="K7" s="109"/>
      <c r="L7" s="104">
        <v>1</v>
      </c>
      <c r="M7" s="105" t="s">
        <v>69</v>
      </c>
      <c r="N7" s="106">
        <f>AVERAGE(0.8,2)</f>
        <v>1.4</v>
      </c>
      <c r="O7" s="106">
        <v>2.5</v>
      </c>
      <c r="P7" s="106">
        <v>1</v>
      </c>
      <c r="Q7" s="105"/>
      <c r="R7" s="105"/>
      <c r="S7" s="107">
        <f t="shared" ref="S7:S8" si="0">N7*O7*P7</f>
        <v>3.5</v>
      </c>
      <c r="T7" s="108">
        <f>S7-S8</f>
        <v>2.9239999999999999</v>
      </c>
      <c r="U7" s="109"/>
      <c r="W7" s="163">
        <v>1</v>
      </c>
      <c r="X7" s="15">
        <v>3.5</v>
      </c>
      <c r="Y7" s="15">
        <v>1.1000000000000001</v>
      </c>
      <c r="Z7" s="15">
        <v>1.7</v>
      </c>
      <c r="AA7" s="25">
        <f>(4/3)*PI()*(Y7/2)*(X7/2)*(Z7/2)</f>
        <v>3.4269539862908664</v>
      </c>
      <c r="AB7" s="25">
        <v>3.22</v>
      </c>
      <c r="AC7" s="109"/>
      <c r="AD7" s="104">
        <v>1</v>
      </c>
      <c r="AE7" s="15">
        <f>AA7</f>
        <v>3.4269539862908664</v>
      </c>
      <c r="AF7" s="15">
        <f t="shared" ref="AF7:AF13" si="1">AB7</f>
        <v>3.22</v>
      </c>
      <c r="AG7" s="91">
        <f>J7</f>
        <v>4.1999999999999993</v>
      </c>
      <c r="AH7" s="15">
        <f>T7</f>
        <v>2.9239999999999999</v>
      </c>
      <c r="AI7" s="92">
        <f t="shared" ref="AI7:AI13" si="2">AG7-AH7</f>
        <v>1.2759999999999994</v>
      </c>
      <c r="AJ7" s="25">
        <f t="shared" ref="AJ7:AJ13" si="3">(AI7*100)/AG7</f>
        <v>30.380952380952372</v>
      </c>
      <c r="AK7" s="104">
        <v>1</v>
      </c>
      <c r="AL7" s="56">
        <f>AI7/AE7</f>
        <v>0.37234232064524064</v>
      </c>
      <c r="AM7" s="56">
        <f>AI7/AF7</f>
        <v>0.39627329192546562</v>
      </c>
      <c r="AN7" s="109"/>
    </row>
    <row r="8" spans="1:40" x14ac:dyDescent="0.2">
      <c r="B8" s="104"/>
      <c r="C8" s="54"/>
      <c r="D8" s="122"/>
      <c r="E8" s="122"/>
      <c r="F8" s="122"/>
      <c r="G8" s="54"/>
      <c r="H8" s="54"/>
      <c r="I8" s="123"/>
      <c r="J8" s="108"/>
      <c r="K8" s="109"/>
      <c r="M8" s="110" t="s">
        <v>69</v>
      </c>
      <c r="N8" s="111">
        <v>0.4</v>
      </c>
      <c r="O8" s="111">
        <v>1.8</v>
      </c>
      <c r="P8" s="111">
        <v>0.8</v>
      </c>
      <c r="Q8" s="110"/>
      <c r="R8" s="110"/>
      <c r="S8" s="112">
        <f t="shared" si="0"/>
        <v>0.57600000000000007</v>
      </c>
      <c r="U8" s="109"/>
      <c r="W8" s="163">
        <v>2</v>
      </c>
      <c r="X8" s="15">
        <v>3.5</v>
      </c>
      <c r="Y8" s="15">
        <v>1.1499999999999999</v>
      </c>
      <c r="Z8" s="15">
        <v>1.9</v>
      </c>
      <c r="AA8" s="25">
        <f>(4/3)*PI()*(Y8/2)*(X8/2)*(Z8/2)</f>
        <v>4.0042216363879906</v>
      </c>
      <c r="AB8" s="25">
        <v>5.63</v>
      </c>
      <c r="AC8" s="109"/>
      <c r="AD8" s="104">
        <v>2</v>
      </c>
      <c r="AE8" s="15">
        <f t="shared" ref="AE8:AE13" si="4">AA8</f>
        <v>4.0042216363879906</v>
      </c>
      <c r="AF8" s="15">
        <f t="shared" si="1"/>
        <v>5.63</v>
      </c>
      <c r="AG8" s="91">
        <f>J10</f>
        <v>4.6601124240570044</v>
      </c>
      <c r="AH8" s="15">
        <f>T10</f>
        <v>3.5185</v>
      </c>
      <c r="AI8" s="92">
        <f t="shared" si="2"/>
        <v>1.1416124240570045</v>
      </c>
      <c r="AJ8" s="124">
        <f t="shared" si="3"/>
        <v>24.497529676829956</v>
      </c>
      <c r="AK8" s="104">
        <v>1</v>
      </c>
      <c r="AL8" s="56">
        <f>AI8/AE8</f>
        <v>0.28510220655188218</v>
      </c>
      <c r="AM8" s="56">
        <f t="shared" ref="AM8:AM11" si="5">AI8/AF8</f>
        <v>0.20277307709715889</v>
      </c>
      <c r="AN8" s="109"/>
    </row>
    <row r="9" spans="1:40" x14ac:dyDescent="0.2">
      <c r="K9" s="109"/>
      <c r="U9" s="109"/>
      <c r="W9" s="163">
        <v>3</v>
      </c>
      <c r="X9" s="15">
        <v>3.4</v>
      </c>
      <c r="Y9" s="15">
        <v>1.4</v>
      </c>
      <c r="Z9" s="15">
        <v>2.0499999999999998</v>
      </c>
      <c r="AA9" s="25">
        <f>(4/3)*PI()*(Y9/2)*(X9/2)*(Z9/2)</f>
        <v>5.1092768522881986</v>
      </c>
      <c r="AB9" s="25">
        <v>6.2</v>
      </c>
      <c r="AC9" s="109"/>
      <c r="AD9" s="104">
        <v>3</v>
      </c>
      <c r="AE9" s="15">
        <f t="shared" si="4"/>
        <v>5.1092768522881986</v>
      </c>
      <c r="AF9" s="15">
        <f t="shared" si="1"/>
        <v>6.2</v>
      </c>
      <c r="AG9" s="91">
        <f>J14</f>
        <v>4.8212499999999991</v>
      </c>
      <c r="AH9" s="15">
        <f>T14</f>
        <v>3.2174999999999994</v>
      </c>
      <c r="AI9" s="92">
        <f t="shared" si="2"/>
        <v>1.6037499999999998</v>
      </c>
      <c r="AJ9" s="124">
        <f t="shared" si="3"/>
        <v>33.264194970184079</v>
      </c>
      <c r="AK9" s="104">
        <v>1</v>
      </c>
      <c r="AL9" s="56">
        <f>AI9/AE9</f>
        <v>0.31388982166463686</v>
      </c>
      <c r="AM9" s="56">
        <f t="shared" si="5"/>
        <v>0.25866935483870962</v>
      </c>
      <c r="AN9" s="109"/>
    </row>
    <row r="10" spans="1:40" x14ac:dyDescent="0.2">
      <c r="B10" s="104">
        <v>2</v>
      </c>
      <c r="C10" s="105" t="s">
        <v>69</v>
      </c>
      <c r="D10" s="106">
        <v>1</v>
      </c>
      <c r="E10" s="106">
        <v>2.8</v>
      </c>
      <c r="F10" s="106">
        <v>1.5</v>
      </c>
      <c r="G10" s="105"/>
      <c r="H10" s="105"/>
      <c r="I10" s="107">
        <f>D10*E10*F10</f>
        <v>4.1999999999999993</v>
      </c>
      <c r="J10" s="108">
        <f>I10+I11</f>
        <v>4.6601124240570044</v>
      </c>
      <c r="K10" s="109"/>
      <c r="L10" s="104">
        <v>2</v>
      </c>
      <c r="M10" s="105" t="s">
        <v>69</v>
      </c>
      <c r="N10" s="107">
        <f>AVERAGE(0.6,1.3)</f>
        <v>0.95</v>
      </c>
      <c r="O10" s="106">
        <v>2.5</v>
      </c>
      <c r="P10" s="106">
        <v>1.5</v>
      </c>
      <c r="Q10" s="105"/>
      <c r="R10" s="105"/>
      <c r="S10" s="107">
        <f t="shared" ref="S10:S12" si="6">N10*O10*P10</f>
        <v>3.5625</v>
      </c>
      <c r="T10" s="108">
        <f>S10+S11-S12</f>
        <v>3.5185</v>
      </c>
      <c r="U10" s="109"/>
      <c r="W10" s="163">
        <v>4</v>
      </c>
      <c r="X10" s="15">
        <v>3.6</v>
      </c>
      <c r="Y10" s="15">
        <v>1.25</v>
      </c>
      <c r="Z10" s="15">
        <v>1.9</v>
      </c>
      <c r="AA10" s="25">
        <f>(4/3)*PI()*(Y10/2)*(X10/2)*(Z10/2)</f>
        <v>4.4767695313654547</v>
      </c>
      <c r="AB10" s="25">
        <v>7.08</v>
      </c>
      <c r="AC10" s="109"/>
      <c r="AD10" s="104">
        <v>4</v>
      </c>
      <c r="AE10" s="15">
        <f t="shared" si="4"/>
        <v>4.4767695313654547</v>
      </c>
      <c r="AF10" s="15">
        <f t="shared" si="1"/>
        <v>7.08</v>
      </c>
      <c r="AG10" s="91">
        <f>J17</f>
        <v>6.9666297857297037</v>
      </c>
      <c r="AH10" s="15">
        <f>T17</f>
        <v>6.3250000000000002</v>
      </c>
      <c r="AI10" s="92">
        <f t="shared" si="2"/>
        <v>0.64162978572970353</v>
      </c>
      <c r="AJ10" s="124">
        <f t="shared" si="3"/>
        <v>9.2100456815432388</v>
      </c>
      <c r="AK10" s="104">
        <v>1</v>
      </c>
      <c r="AL10" s="56">
        <f>AI10/AE10</f>
        <v>0.14332428355631716</v>
      </c>
      <c r="AM10" s="56">
        <f t="shared" si="5"/>
        <v>9.0625675950523094E-2</v>
      </c>
      <c r="AN10" s="109"/>
    </row>
    <row r="11" spans="1:40" x14ac:dyDescent="0.2">
      <c r="C11" s="113" t="s">
        <v>72</v>
      </c>
      <c r="D11" s="114">
        <v>1</v>
      </c>
      <c r="E11" s="113"/>
      <c r="F11" s="113"/>
      <c r="G11" s="115">
        <f>AVERAGE(1.5,0.8)</f>
        <v>1.1499999999999999</v>
      </c>
      <c r="H11" s="114">
        <v>0.3</v>
      </c>
      <c r="I11" s="115">
        <f>D11*PI()*(1/3)*(((G11/2)^2)+((H11/2)^2)+((G11/2)*(H11/2)))</f>
        <v>0.46011242405700503</v>
      </c>
      <c r="K11" s="109"/>
      <c r="M11" s="105" t="s">
        <v>69</v>
      </c>
      <c r="N11" s="106">
        <v>0.5</v>
      </c>
      <c r="O11" s="106">
        <v>0.5</v>
      </c>
      <c r="P11" s="106">
        <v>0.4</v>
      </c>
      <c r="Q11" s="105"/>
      <c r="R11" s="105"/>
      <c r="S11" s="107">
        <f t="shared" si="6"/>
        <v>0.1</v>
      </c>
      <c r="U11" s="109"/>
      <c r="W11" s="163">
        <v>5</v>
      </c>
      <c r="X11" s="15">
        <v>4.3499999999999996</v>
      </c>
      <c r="Y11" s="15">
        <v>1.2</v>
      </c>
      <c r="Z11" s="15">
        <v>1.6</v>
      </c>
      <c r="AA11" s="25">
        <f>(4/3)*PI()*(Y11/2)*(X11/2)*(Z11/2)</f>
        <v>4.3730969737969909</v>
      </c>
      <c r="AB11" s="25">
        <v>5.52</v>
      </c>
      <c r="AC11" s="109"/>
      <c r="AD11" s="104">
        <v>5</v>
      </c>
      <c r="AE11" s="15">
        <f t="shared" si="4"/>
        <v>4.3730969737969909</v>
      </c>
      <c r="AF11" s="15">
        <f t="shared" si="1"/>
        <v>5.52</v>
      </c>
      <c r="AG11" s="91">
        <f>J21</f>
        <v>2.5299999999999998</v>
      </c>
      <c r="AH11" s="15">
        <f>T21</f>
        <v>1.9319999999999999</v>
      </c>
      <c r="AI11" s="92">
        <f t="shared" si="2"/>
        <v>0.59799999999999986</v>
      </c>
      <c r="AJ11" s="124">
        <f t="shared" si="3"/>
        <v>23.636363636363633</v>
      </c>
      <c r="AK11" s="104">
        <v>1</v>
      </c>
      <c r="AL11" s="56">
        <f>AI11/AE11</f>
        <v>0.1367451953576917</v>
      </c>
      <c r="AM11" s="56">
        <f t="shared" si="5"/>
        <v>0.10833333333333332</v>
      </c>
      <c r="AN11" s="109"/>
    </row>
    <row r="12" spans="1:40" x14ac:dyDescent="0.2">
      <c r="C12" s="54"/>
      <c r="D12" s="122"/>
      <c r="E12" s="54"/>
      <c r="F12" s="54"/>
      <c r="G12" s="122"/>
      <c r="H12" s="122"/>
      <c r="I12" s="123"/>
      <c r="K12" s="109"/>
      <c r="M12" s="110" t="s">
        <v>69</v>
      </c>
      <c r="N12" s="111">
        <v>0.3</v>
      </c>
      <c r="O12" s="111">
        <v>1.2</v>
      </c>
      <c r="P12" s="111">
        <v>0.4</v>
      </c>
      <c r="Q12" s="110"/>
      <c r="R12" s="110"/>
      <c r="S12" s="112">
        <f t="shared" si="6"/>
        <v>0.14399999999999999</v>
      </c>
      <c r="U12" s="109"/>
      <c r="W12" s="125">
        <v>6</v>
      </c>
      <c r="AA12" s="70" t="s">
        <v>71</v>
      </c>
      <c r="AB12" s="15"/>
      <c r="AC12" s="109"/>
      <c r="AD12" s="134">
        <v>6</v>
      </c>
      <c r="AE12" s="135" t="s">
        <v>71</v>
      </c>
      <c r="AF12" s="136"/>
      <c r="AG12" s="141">
        <f>J23</f>
        <v>4.2</v>
      </c>
      <c r="AH12" s="136">
        <f>T23</f>
        <v>4.2525000000000004</v>
      </c>
      <c r="AI12" s="146">
        <f t="shared" si="2"/>
        <v>-5.2500000000000213E-2</v>
      </c>
      <c r="AJ12" s="137">
        <f t="shared" si="3"/>
        <v>-1.2500000000000051</v>
      </c>
      <c r="AK12" s="138" t="s">
        <v>71</v>
      </c>
      <c r="AL12" s="139"/>
      <c r="AM12" s="139"/>
      <c r="AN12" s="109"/>
    </row>
    <row r="13" spans="1:40" x14ac:dyDescent="0.2">
      <c r="K13" s="109"/>
      <c r="U13" s="109"/>
      <c r="W13" s="163">
        <v>7</v>
      </c>
      <c r="X13" s="15">
        <v>3.3</v>
      </c>
      <c r="Y13" s="15">
        <v>1.1000000000000001</v>
      </c>
      <c r="Z13" s="15">
        <v>1.5</v>
      </c>
      <c r="AA13" s="25">
        <f>(4/3)*PI()*(Y13/2)*(X13/2)*(Z13/2)</f>
        <v>2.8509953331327371</v>
      </c>
      <c r="AB13" s="25">
        <v>4.67</v>
      </c>
      <c r="AC13" s="109"/>
      <c r="AD13" s="104">
        <v>7</v>
      </c>
      <c r="AE13" s="15">
        <f t="shared" si="4"/>
        <v>2.8509953331327371</v>
      </c>
      <c r="AF13" s="15">
        <f t="shared" si="1"/>
        <v>4.67</v>
      </c>
      <c r="AG13" s="91">
        <f>J26</f>
        <v>56.364214586764426</v>
      </c>
      <c r="AH13" s="15">
        <f>T26</f>
        <v>56.119646003293852</v>
      </c>
      <c r="AI13" s="92">
        <f t="shared" si="2"/>
        <v>0.2445685834705742</v>
      </c>
      <c r="AJ13" s="124">
        <f t="shared" si="3"/>
        <v>0.43390755156198763</v>
      </c>
      <c r="AK13" s="104">
        <v>1</v>
      </c>
      <c r="AL13" s="56">
        <f t="shared" ref="AL13" si="7">AI13/AE13</f>
        <v>8.5783579028814755E-2</v>
      </c>
      <c r="AM13" s="56">
        <f t="shared" ref="AM13" si="8">AI13/AF13</f>
        <v>5.2370146353442011E-2</v>
      </c>
      <c r="AN13" s="109"/>
    </row>
    <row r="14" spans="1:40" x14ac:dyDescent="0.2">
      <c r="B14" s="104">
        <v>3</v>
      </c>
      <c r="C14" s="105" t="s">
        <v>69</v>
      </c>
      <c r="D14" s="107">
        <f>AVERAGE(1.4,0.5)</f>
        <v>0.95</v>
      </c>
      <c r="E14" s="106">
        <v>3.5</v>
      </c>
      <c r="F14" s="107">
        <f>AVERAGE(0.9,2)</f>
        <v>1.45</v>
      </c>
      <c r="G14" s="105"/>
      <c r="H14" s="105"/>
      <c r="I14" s="107">
        <f>D14*E14*F14</f>
        <v>4.8212499999999991</v>
      </c>
      <c r="J14" s="108">
        <f>I14</f>
        <v>4.8212499999999991</v>
      </c>
      <c r="K14" s="109"/>
      <c r="L14" s="104">
        <v>3</v>
      </c>
      <c r="M14" s="105" t="s">
        <v>69</v>
      </c>
      <c r="N14" s="107">
        <f>AVERAGE(0.5,1.4)</f>
        <v>0.95</v>
      </c>
      <c r="O14" s="106">
        <v>3.3</v>
      </c>
      <c r="P14" s="106">
        <f>AVERAGE(1.5,0.9)</f>
        <v>1.2</v>
      </c>
      <c r="Q14" s="105"/>
      <c r="R14" s="105"/>
      <c r="S14" s="107">
        <f t="shared" ref="S14:S15" si="9">N14*O14*P14</f>
        <v>3.7619999999999996</v>
      </c>
      <c r="T14" s="108">
        <f>S14-S15</f>
        <v>3.2174999999999994</v>
      </c>
      <c r="U14" s="109"/>
      <c r="W14" s="163">
        <v>8</v>
      </c>
      <c r="X14" s="15">
        <v>4.1500000000000004</v>
      </c>
      <c r="Y14" s="15">
        <v>1.2999999999999998</v>
      </c>
      <c r="Z14" s="15">
        <v>1.8</v>
      </c>
      <c r="AA14" s="25">
        <f>(4/3)*PI()*(Y14/2)*(X14/2)*(Z14/2)</f>
        <v>5.0846677098350801</v>
      </c>
      <c r="AB14" s="25">
        <v>5.79</v>
      </c>
      <c r="AC14" s="109"/>
      <c r="AD14" s="126">
        <v>8</v>
      </c>
      <c r="AE14" s="93">
        <f>AA14</f>
        <v>5.0846677098350801</v>
      </c>
      <c r="AF14" s="93">
        <f>AB14</f>
        <v>5.79</v>
      </c>
      <c r="AG14" s="94">
        <f>J32</f>
        <v>1.9500000000000002</v>
      </c>
      <c r="AH14" s="93">
        <f>T32</f>
        <v>2.0562499999999999</v>
      </c>
      <c r="AI14" s="95">
        <f>AG14-AH14</f>
        <v>-0.10624999999999973</v>
      </c>
      <c r="AJ14" s="128">
        <f>(AI14*100)/AG14</f>
        <v>-5.4487179487179347</v>
      </c>
      <c r="AK14" s="126">
        <v>0</v>
      </c>
      <c r="AL14" s="127"/>
      <c r="AM14" s="127"/>
      <c r="AN14" s="109"/>
    </row>
    <row r="15" spans="1:40" x14ac:dyDescent="0.2">
      <c r="B15" s="104"/>
      <c r="C15" s="54"/>
      <c r="D15" s="122"/>
      <c r="E15" s="122"/>
      <c r="F15" s="122"/>
      <c r="G15" s="54"/>
      <c r="H15" s="54"/>
      <c r="I15" s="123"/>
      <c r="J15" s="108"/>
      <c r="K15" s="109"/>
      <c r="M15" s="110" t="s">
        <v>69</v>
      </c>
      <c r="N15" s="112">
        <v>0.45</v>
      </c>
      <c r="O15" s="111">
        <v>1.1000000000000001</v>
      </c>
      <c r="P15" s="111">
        <v>1.1000000000000001</v>
      </c>
      <c r="Q15" s="110"/>
      <c r="R15" s="110"/>
      <c r="S15" s="112">
        <f t="shared" si="9"/>
        <v>0.5445000000000001</v>
      </c>
      <c r="U15" s="109"/>
      <c r="AC15" s="109"/>
      <c r="AN15" s="109"/>
    </row>
    <row r="16" spans="1:40" x14ac:dyDescent="0.2">
      <c r="K16" s="109"/>
      <c r="U16" s="109"/>
      <c r="AC16" s="109"/>
      <c r="AG16" s="57"/>
      <c r="AH16" s="64" t="s">
        <v>84</v>
      </c>
      <c r="AI16" s="58">
        <f>AVERAGE(AI12,AI14)</f>
        <v>-7.9374999999999973E-2</v>
      </c>
      <c r="AJ16" s="58">
        <f>AVERAGE(AJ12,AJ14)</f>
        <v>-3.34935897435897</v>
      </c>
      <c r="AK16" s="62"/>
      <c r="AL16" s="63"/>
      <c r="AM16" s="63"/>
      <c r="AN16" s="109"/>
    </row>
    <row r="17" spans="1:40" x14ac:dyDescent="0.2">
      <c r="B17" s="104">
        <v>4</v>
      </c>
      <c r="C17" s="105" t="s">
        <v>69</v>
      </c>
      <c r="D17" s="107">
        <f>AVERAGE(1,1.5)</f>
        <v>1.25</v>
      </c>
      <c r="E17" s="106">
        <v>2.5</v>
      </c>
      <c r="F17" s="106">
        <v>2.2000000000000002</v>
      </c>
      <c r="G17" s="105"/>
      <c r="H17" s="105"/>
      <c r="I17" s="107">
        <f>D17*E17*F17</f>
        <v>6.8750000000000009</v>
      </c>
      <c r="J17" s="108">
        <f>I17+I18+I19</f>
        <v>6.9666297857297037</v>
      </c>
      <c r="K17" s="109"/>
      <c r="L17" s="104">
        <v>4</v>
      </c>
      <c r="M17" s="105" t="s">
        <v>69</v>
      </c>
      <c r="N17" s="107">
        <f>AVERAGE(0.8,1.5)</f>
        <v>1.1499999999999999</v>
      </c>
      <c r="O17" s="106">
        <v>2.5</v>
      </c>
      <c r="P17" s="106">
        <v>2.2000000000000002</v>
      </c>
      <c r="Q17" s="105"/>
      <c r="R17" s="105"/>
      <c r="S17" s="107">
        <f>N17*O17*P17</f>
        <v>6.3250000000000002</v>
      </c>
      <c r="T17" s="108">
        <f>S17</f>
        <v>6.3250000000000002</v>
      </c>
      <c r="U17" s="109"/>
      <c r="AC17" s="109"/>
      <c r="AG17" s="57"/>
      <c r="AH17" s="64" t="s">
        <v>85</v>
      </c>
      <c r="AI17" s="58">
        <f>STDEV(AI12,AI14)</f>
        <v>3.8006989488776594E-2</v>
      </c>
      <c r="AJ17" s="58">
        <f>STDEV(AJ12,AJ14)</f>
        <v>2.9689419338281184</v>
      </c>
      <c r="AK17" s="62"/>
      <c r="AL17" s="63"/>
      <c r="AM17" s="63"/>
      <c r="AN17" s="109"/>
    </row>
    <row r="18" spans="1:40" x14ac:dyDescent="0.2">
      <c r="C18" s="116" t="s">
        <v>73</v>
      </c>
      <c r="D18" s="117">
        <v>0.7</v>
      </c>
      <c r="E18" s="116"/>
      <c r="F18" s="116"/>
      <c r="G18" s="117">
        <v>0.5</v>
      </c>
      <c r="H18" s="116"/>
      <c r="I18" s="118">
        <f t="shared" ref="I18:I19" si="10">(1/3)*PI()*((G18/2)^2)*D18</f>
        <v>4.5814892864851145E-2</v>
      </c>
      <c r="K18" s="109"/>
      <c r="L18" s="104"/>
      <c r="M18" s="54"/>
      <c r="N18" s="122"/>
      <c r="O18" s="122"/>
      <c r="P18" s="122"/>
      <c r="Q18" s="54"/>
      <c r="R18" s="54"/>
      <c r="S18" s="123"/>
      <c r="T18" s="108"/>
      <c r="U18" s="109"/>
      <c r="AC18" s="109"/>
      <c r="AG18" s="57"/>
      <c r="AH18" s="57"/>
      <c r="AI18" s="57"/>
      <c r="AJ18" s="58"/>
      <c r="AK18" s="62"/>
      <c r="AL18" s="63"/>
      <c r="AM18" s="63"/>
      <c r="AN18" s="109"/>
    </row>
    <row r="19" spans="1:40" x14ac:dyDescent="0.2">
      <c r="C19" s="116" t="s">
        <v>73</v>
      </c>
      <c r="D19" s="117">
        <v>0.7</v>
      </c>
      <c r="E19" s="116"/>
      <c r="F19" s="116"/>
      <c r="G19" s="117">
        <v>0.5</v>
      </c>
      <c r="H19" s="116"/>
      <c r="I19" s="118">
        <f t="shared" si="10"/>
        <v>4.5814892864851145E-2</v>
      </c>
      <c r="K19" s="109"/>
      <c r="L19" s="104"/>
      <c r="M19" s="54"/>
      <c r="N19" s="122"/>
      <c r="O19" s="122"/>
      <c r="P19" s="122"/>
      <c r="Q19" s="54"/>
      <c r="R19" s="54"/>
      <c r="S19" s="123"/>
      <c r="T19" s="108"/>
      <c r="U19" s="109"/>
      <c r="AC19" s="109"/>
      <c r="AH19" s="65" t="s">
        <v>88</v>
      </c>
      <c r="AI19" s="66">
        <f>AVERAGE(AI7:AI11,AI13:AI13)</f>
        <v>0.91759346554288024</v>
      </c>
      <c r="AK19" s="65" t="s">
        <v>86</v>
      </c>
      <c r="AL19" s="145">
        <f>AVERAGE(AL7:AL11,AL13:AL13)</f>
        <v>0.22286456780076389</v>
      </c>
      <c r="AM19" s="145">
        <f>AVERAGE(AM7:AM11,AM13:AM13)</f>
        <v>0.18484081324977211</v>
      </c>
      <c r="AN19" s="109"/>
    </row>
    <row r="20" spans="1:40" x14ac:dyDescent="0.2">
      <c r="K20" s="109"/>
      <c r="U20" s="109"/>
      <c r="AC20" s="109"/>
      <c r="AH20" s="64" t="s">
        <v>89</v>
      </c>
      <c r="AI20" s="57">
        <f>STDEV(AI7:AI11,AI13:AI13)</f>
        <v>0.50610452579989806</v>
      </c>
      <c r="AK20" s="65" t="s">
        <v>87</v>
      </c>
      <c r="AL20" s="58">
        <f>STDEV(AL7:AL11,AL13:AL13)</f>
        <v>0.11579043114532644</v>
      </c>
      <c r="AM20" s="58">
        <f>STDEV(AM7:AM11,AM13:AM13)</f>
        <v>0.12865012774671339</v>
      </c>
      <c r="AN20" s="109"/>
    </row>
    <row r="21" spans="1:40" x14ac:dyDescent="0.2">
      <c r="B21" s="104">
        <v>5</v>
      </c>
      <c r="C21" s="105" t="s">
        <v>69</v>
      </c>
      <c r="D21" s="106">
        <f>AVERAGE(0.5,1.5)</f>
        <v>1</v>
      </c>
      <c r="E21" s="106">
        <v>2.2999999999999998</v>
      </c>
      <c r="F21" s="106">
        <f>AVERAGE(1.5,0.7)</f>
        <v>1.1000000000000001</v>
      </c>
      <c r="G21" s="105"/>
      <c r="H21" s="105"/>
      <c r="I21" s="107">
        <f>D21*E21*F21</f>
        <v>2.5299999999999998</v>
      </c>
      <c r="J21" s="108">
        <f>I21</f>
        <v>2.5299999999999998</v>
      </c>
      <c r="K21" s="109"/>
      <c r="L21" s="104">
        <v>5</v>
      </c>
      <c r="M21" s="105" t="s">
        <v>69</v>
      </c>
      <c r="N21" s="106">
        <f>AVERAGE(0.3,1.3)</f>
        <v>0.8</v>
      </c>
      <c r="O21" s="106">
        <v>2.2999999999999998</v>
      </c>
      <c r="P21" s="107">
        <f>AVERAGE(1.5,0.6)</f>
        <v>1.05</v>
      </c>
      <c r="Q21" s="105"/>
      <c r="R21" s="105"/>
      <c r="S21" s="107">
        <f>N21*O21*P21</f>
        <v>1.9319999999999999</v>
      </c>
      <c r="T21" s="108">
        <f>S21</f>
        <v>1.9319999999999999</v>
      </c>
      <c r="U21" s="109"/>
      <c r="AC21" s="109"/>
      <c r="AN21" s="109"/>
    </row>
    <row r="22" spans="1:40" x14ac:dyDescent="0.2">
      <c r="K22" s="109"/>
      <c r="U22" s="109"/>
      <c r="AC22" s="109"/>
      <c r="AN22" s="109"/>
    </row>
    <row r="23" spans="1:40" x14ac:dyDescent="0.2">
      <c r="A23" t="s">
        <v>71</v>
      </c>
      <c r="B23" s="81">
        <v>6</v>
      </c>
      <c r="C23" s="105" t="s">
        <v>69</v>
      </c>
      <c r="D23" s="106">
        <v>0.8</v>
      </c>
      <c r="E23" s="106">
        <v>2.5</v>
      </c>
      <c r="F23" s="106">
        <v>1.5</v>
      </c>
      <c r="G23" s="105"/>
      <c r="H23" s="105"/>
      <c r="I23" s="107">
        <f t="shared" ref="I23:I24" si="11">D23*E23*F23</f>
        <v>3</v>
      </c>
      <c r="J23" s="108">
        <f>I23+I24</f>
        <v>4.2</v>
      </c>
      <c r="K23" s="109"/>
      <c r="L23" s="81">
        <v>6</v>
      </c>
      <c r="M23" s="105" t="s">
        <v>69</v>
      </c>
      <c r="N23" s="107">
        <v>0.75</v>
      </c>
      <c r="O23" s="106">
        <v>2.5</v>
      </c>
      <c r="P23" s="106">
        <v>1.5</v>
      </c>
      <c r="Q23" s="105"/>
      <c r="R23" s="105"/>
      <c r="S23" s="107">
        <f t="shared" ref="S23:S24" si="12">N23*O23*P23</f>
        <v>2.8125</v>
      </c>
      <c r="T23" s="108">
        <f>S23+S24</f>
        <v>4.2525000000000004</v>
      </c>
      <c r="U23" s="109"/>
      <c r="AC23" s="109"/>
      <c r="AN23" s="109"/>
    </row>
    <row r="24" spans="1:40" x14ac:dyDescent="0.2">
      <c r="C24" s="105" t="s">
        <v>69</v>
      </c>
      <c r="D24" s="106">
        <v>0.8</v>
      </c>
      <c r="E24" s="106">
        <v>1.5</v>
      </c>
      <c r="F24" s="106">
        <v>1</v>
      </c>
      <c r="G24" s="105"/>
      <c r="H24" s="105"/>
      <c r="I24" s="107">
        <f t="shared" si="11"/>
        <v>1.2000000000000002</v>
      </c>
      <c r="K24" s="109"/>
      <c r="M24" s="105" t="s">
        <v>69</v>
      </c>
      <c r="N24" s="106">
        <v>0.9</v>
      </c>
      <c r="O24" s="106">
        <v>1.6</v>
      </c>
      <c r="P24" s="106">
        <v>1</v>
      </c>
      <c r="Q24" s="105"/>
      <c r="R24" s="105"/>
      <c r="S24" s="107">
        <f t="shared" si="12"/>
        <v>1.4400000000000002</v>
      </c>
      <c r="U24" s="109"/>
      <c r="AC24" s="109"/>
      <c r="AN24" s="109"/>
    </row>
    <row r="25" spans="1:40" x14ac:dyDescent="0.2">
      <c r="K25" s="109"/>
      <c r="U25" s="109"/>
      <c r="AC25" s="109"/>
      <c r="AN25" s="109"/>
    </row>
    <row r="26" spans="1:40" x14ac:dyDescent="0.2">
      <c r="B26" s="104">
        <v>7</v>
      </c>
      <c r="C26" s="105" t="s">
        <v>69</v>
      </c>
      <c r="D26" s="106">
        <v>3.5</v>
      </c>
      <c r="E26" s="107">
        <v>4.75</v>
      </c>
      <c r="F26" s="106">
        <v>3.5</v>
      </c>
      <c r="G26" s="105"/>
      <c r="H26" s="105"/>
      <c r="I26" s="107">
        <f>D26*E26*F26</f>
        <v>58.1875</v>
      </c>
      <c r="J26" s="108">
        <f>I26+I27+I28-I29</f>
        <v>56.364214586764426</v>
      </c>
      <c r="K26" s="109"/>
      <c r="L26" s="104">
        <v>7</v>
      </c>
      <c r="M26" s="105" t="s">
        <v>69</v>
      </c>
      <c r="N26" s="107">
        <v>3.5</v>
      </c>
      <c r="O26" s="107">
        <f>AVERAGE(4.5,5.1)</f>
        <v>4.8</v>
      </c>
      <c r="P26" s="107">
        <v>3.5</v>
      </c>
      <c r="Q26" s="129"/>
      <c r="R26" s="129"/>
      <c r="S26" s="107">
        <f>N26*O26*P26</f>
        <v>58.800000000000004</v>
      </c>
      <c r="T26" s="108">
        <f>S26+S27+S28-S29-S30</f>
        <v>56.119646003293852</v>
      </c>
      <c r="U26" s="109"/>
      <c r="AC26" s="109"/>
      <c r="AN26" s="109"/>
    </row>
    <row r="27" spans="1:40" x14ac:dyDescent="0.2">
      <c r="C27" s="119" t="s">
        <v>70</v>
      </c>
      <c r="D27" s="120">
        <v>1.5</v>
      </c>
      <c r="E27" s="119"/>
      <c r="F27" s="119"/>
      <c r="G27" s="120">
        <v>0.3</v>
      </c>
      <c r="H27" s="119"/>
      <c r="I27" s="121">
        <f t="shared" ref="I27:I28" si="13">PI()*((G27/2)^2)*D27</f>
        <v>0.10602875205865553</v>
      </c>
      <c r="K27" s="109"/>
      <c r="M27" s="119" t="s">
        <v>70</v>
      </c>
      <c r="N27" s="121">
        <v>1.4</v>
      </c>
      <c r="O27" s="130"/>
      <c r="P27" s="130"/>
      <c r="Q27" s="121">
        <v>0.3</v>
      </c>
      <c r="R27" s="130"/>
      <c r="S27" s="121">
        <f t="shared" ref="S27:S28" si="14">PI()*((Q27/2)^2)*N27</f>
        <v>9.8960168588078476E-2</v>
      </c>
      <c r="U27" s="109"/>
      <c r="AC27" s="109"/>
      <c r="AN27" s="109"/>
    </row>
    <row r="28" spans="1:40" x14ac:dyDescent="0.2">
      <c r="C28" s="119" t="s">
        <v>70</v>
      </c>
      <c r="D28" s="121">
        <v>1</v>
      </c>
      <c r="E28" s="119"/>
      <c r="F28" s="119"/>
      <c r="G28" s="120">
        <v>0.3</v>
      </c>
      <c r="H28" s="119"/>
      <c r="I28" s="121">
        <f t="shared" si="13"/>
        <v>7.0685834705770348E-2</v>
      </c>
      <c r="K28" s="109"/>
      <c r="M28" s="119" t="s">
        <v>70</v>
      </c>
      <c r="N28" s="121">
        <v>1</v>
      </c>
      <c r="O28" s="130"/>
      <c r="P28" s="130"/>
      <c r="Q28" s="121">
        <v>0.3</v>
      </c>
      <c r="R28" s="130"/>
      <c r="S28" s="121">
        <f t="shared" si="14"/>
        <v>7.0685834705770348E-2</v>
      </c>
      <c r="U28" s="109"/>
      <c r="V28" s="104"/>
      <c r="W28" s="54"/>
      <c r="X28" s="122"/>
      <c r="Y28" s="122"/>
      <c r="Z28" s="122"/>
      <c r="AA28" s="104"/>
      <c r="AB28" s="54"/>
      <c r="AC28" s="109"/>
      <c r="AD28" s="122"/>
      <c r="AE28" s="122"/>
      <c r="AN28" s="109"/>
    </row>
    <row r="29" spans="1:40" x14ac:dyDescent="0.2">
      <c r="C29" s="110" t="s">
        <v>69</v>
      </c>
      <c r="D29" s="111">
        <v>0.8</v>
      </c>
      <c r="E29" s="111">
        <v>2</v>
      </c>
      <c r="F29" s="112">
        <v>1.25</v>
      </c>
      <c r="G29" s="110"/>
      <c r="H29" s="110"/>
      <c r="I29" s="112">
        <f>D29*E29*F29</f>
        <v>2</v>
      </c>
      <c r="K29" s="109"/>
      <c r="M29" s="110" t="s">
        <v>69</v>
      </c>
      <c r="N29" s="112">
        <v>0.9</v>
      </c>
      <c r="O29" s="112">
        <v>2</v>
      </c>
      <c r="P29" s="112">
        <v>1.25</v>
      </c>
      <c r="Q29" s="131"/>
      <c r="R29" s="131"/>
      <c r="S29" s="112">
        <f t="shared" ref="S29:S30" si="15">N29*O29*P29</f>
        <v>2.25</v>
      </c>
      <c r="U29" s="109"/>
      <c r="V29" s="104"/>
      <c r="W29" s="54"/>
      <c r="X29" s="122"/>
      <c r="Y29" s="122"/>
      <c r="Z29" s="122"/>
      <c r="AA29" s="104"/>
      <c r="AB29" s="54"/>
      <c r="AC29" s="109"/>
      <c r="AD29" s="122"/>
      <c r="AE29" s="122"/>
      <c r="AN29" s="109"/>
    </row>
    <row r="30" spans="1:40" x14ac:dyDescent="0.2">
      <c r="C30" s="54"/>
      <c r="D30" s="122"/>
      <c r="E30" s="122"/>
      <c r="F30" s="122"/>
      <c r="G30" s="54"/>
      <c r="H30" s="54"/>
      <c r="I30" s="123"/>
      <c r="K30" s="109"/>
      <c r="M30" s="110" t="s">
        <v>69</v>
      </c>
      <c r="N30" s="112">
        <v>0.75</v>
      </c>
      <c r="O30" s="112">
        <v>1.6</v>
      </c>
      <c r="P30" s="112">
        <v>0.5</v>
      </c>
      <c r="Q30" s="131"/>
      <c r="R30" s="131"/>
      <c r="S30" s="112">
        <f t="shared" si="15"/>
        <v>0.60000000000000009</v>
      </c>
      <c r="U30" s="109"/>
      <c r="V30" s="104"/>
      <c r="W30" s="54"/>
      <c r="X30" s="122"/>
      <c r="Y30" s="122"/>
      <c r="Z30" s="122"/>
      <c r="AA30" s="104"/>
      <c r="AB30" s="54"/>
      <c r="AC30" s="109"/>
      <c r="AD30" s="122"/>
      <c r="AE30" s="122"/>
      <c r="AN30" s="109"/>
    </row>
    <row r="31" spans="1:40" x14ac:dyDescent="0.2">
      <c r="K31" s="109"/>
      <c r="U31" s="109"/>
      <c r="V31" s="104"/>
      <c r="W31" s="54"/>
      <c r="X31" s="122"/>
      <c r="Y31" s="122"/>
      <c r="Z31" s="122"/>
      <c r="AA31" s="104"/>
      <c r="AB31" s="54"/>
      <c r="AC31" s="109"/>
      <c r="AD31" s="122"/>
      <c r="AE31" s="122"/>
      <c r="AN31" s="109"/>
    </row>
    <row r="32" spans="1:40" x14ac:dyDescent="0.2">
      <c r="B32" s="104">
        <v>8</v>
      </c>
      <c r="C32" s="105" t="s">
        <v>69</v>
      </c>
      <c r="D32" s="107">
        <f>AVERAGE(0.3,1)</f>
        <v>0.65</v>
      </c>
      <c r="E32" s="106">
        <v>2.4</v>
      </c>
      <c r="F32" s="107">
        <v>1.25</v>
      </c>
      <c r="G32" s="105"/>
      <c r="H32" s="105"/>
      <c r="I32" s="107">
        <f>D32*E32*F32</f>
        <v>1.9500000000000002</v>
      </c>
      <c r="J32" s="108">
        <f>I32</f>
        <v>1.9500000000000002</v>
      </c>
      <c r="K32" s="109"/>
      <c r="L32" s="104">
        <v>8</v>
      </c>
      <c r="M32" s="105" t="s">
        <v>69</v>
      </c>
      <c r="N32" s="106">
        <f>AVERAGE(0.4,1)</f>
        <v>0.7</v>
      </c>
      <c r="O32" s="107">
        <f>AVERAGE(2.2,2.5)</f>
        <v>2.35</v>
      </c>
      <c r="P32" s="107">
        <v>1.25</v>
      </c>
      <c r="Q32" s="105"/>
      <c r="R32" s="105"/>
      <c r="S32" s="107">
        <f>N32*O32*P32</f>
        <v>2.0562499999999999</v>
      </c>
      <c r="T32" s="108">
        <f>S32</f>
        <v>2.0562499999999999</v>
      </c>
      <c r="U32" s="109"/>
      <c r="V32" s="104"/>
      <c r="W32" s="54"/>
      <c r="X32" s="122"/>
      <c r="Y32" s="122"/>
      <c r="Z32" s="122"/>
      <c r="AA32" s="104"/>
      <c r="AB32" s="54"/>
      <c r="AC32" s="109"/>
      <c r="AD32" s="122"/>
      <c r="AE32" s="122"/>
      <c r="AN32" s="109"/>
    </row>
    <row r="33" spans="1:40" s="67" customFormat="1" ht="16" thickBot="1" x14ac:dyDescent="0.25">
      <c r="K33" s="68"/>
      <c r="U33" s="68"/>
      <c r="V33" s="69"/>
      <c r="AC33" s="85"/>
      <c r="AN33" s="85"/>
    </row>
    <row r="34" spans="1:40" x14ac:dyDescent="0.2">
      <c r="A34" s="59" t="s">
        <v>119</v>
      </c>
      <c r="E34" t="s">
        <v>75</v>
      </c>
      <c r="K34" s="61"/>
      <c r="U34" s="61"/>
      <c r="V34" s="54"/>
      <c r="AC34" s="84"/>
      <c r="AN34" s="84"/>
    </row>
    <row r="35" spans="1:40" x14ac:dyDescent="0.2">
      <c r="A35" t="s">
        <v>96</v>
      </c>
      <c r="E35" t="s">
        <v>76</v>
      </c>
      <c r="K35" s="61"/>
      <c r="U35" s="61"/>
      <c r="V35" s="54"/>
      <c r="AC35" s="84"/>
      <c r="AN35" s="84"/>
    </row>
    <row r="36" spans="1:40" ht="14.5" customHeight="1" x14ac:dyDescent="0.2">
      <c r="B36" s="54" t="s">
        <v>58</v>
      </c>
      <c r="K36" s="61"/>
      <c r="L36" s="54" t="s">
        <v>59</v>
      </c>
      <c r="U36" s="61"/>
      <c r="V36" s="54"/>
      <c r="AA36" s="162" t="s">
        <v>104</v>
      </c>
      <c r="AB36" s="97"/>
      <c r="AC36" s="84"/>
      <c r="AE36" s="227" t="s">
        <v>92</v>
      </c>
      <c r="AF36" s="227"/>
      <c r="AG36" s="228" t="s">
        <v>77</v>
      </c>
      <c r="AH36" s="229"/>
      <c r="AI36" s="230"/>
      <c r="AJ36" s="89"/>
      <c r="AK36" s="159" t="s">
        <v>82</v>
      </c>
      <c r="AL36" s="231" t="s">
        <v>80</v>
      </c>
      <c r="AM36" s="231"/>
      <c r="AN36" s="84"/>
    </row>
    <row r="37" spans="1:40" ht="32" x14ac:dyDescent="0.2">
      <c r="B37" s="54" t="s">
        <v>60</v>
      </c>
      <c r="C37" s="98" t="s">
        <v>140</v>
      </c>
      <c r="D37" s="54" t="s">
        <v>61</v>
      </c>
      <c r="E37" s="54" t="s">
        <v>62</v>
      </c>
      <c r="F37" s="54" t="s">
        <v>63</v>
      </c>
      <c r="G37" s="54" t="s">
        <v>64</v>
      </c>
      <c r="H37" s="54" t="s">
        <v>64</v>
      </c>
      <c r="I37" s="54" t="s">
        <v>65</v>
      </c>
      <c r="J37" s="54" t="s">
        <v>66</v>
      </c>
      <c r="K37" s="60"/>
      <c r="L37" s="54" t="s">
        <v>60</v>
      </c>
      <c r="M37" s="98" t="s">
        <v>140</v>
      </c>
      <c r="N37" s="54" t="s">
        <v>61</v>
      </c>
      <c r="O37" s="54" t="s">
        <v>62</v>
      </c>
      <c r="P37" s="54" t="s">
        <v>63</v>
      </c>
      <c r="Q37" s="54" t="s">
        <v>64</v>
      </c>
      <c r="R37" s="54" t="s">
        <v>64</v>
      </c>
      <c r="S37" s="54" t="s">
        <v>74</v>
      </c>
      <c r="T37" s="54" t="s">
        <v>66</v>
      </c>
      <c r="U37" s="60"/>
      <c r="V37" s="55" t="s">
        <v>60</v>
      </c>
      <c r="W37" s="59" t="s">
        <v>120</v>
      </c>
      <c r="X37" s="59" t="s">
        <v>62</v>
      </c>
      <c r="Y37" s="59" t="s">
        <v>61</v>
      </c>
      <c r="Z37" s="59" t="s">
        <v>63</v>
      </c>
      <c r="AA37" s="59" t="s">
        <v>67</v>
      </c>
      <c r="AB37" s="87" t="s">
        <v>90</v>
      </c>
      <c r="AC37" s="84"/>
      <c r="AD37" s="54" t="s">
        <v>60</v>
      </c>
      <c r="AE37" s="98" t="s">
        <v>93</v>
      </c>
      <c r="AF37" s="98" t="s">
        <v>94</v>
      </c>
      <c r="AG37" s="86" t="s">
        <v>78</v>
      </c>
      <c r="AH37" s="87" t="s">
        <v>79</v>
      </c>
      <c r="AI37" s="88" t="s">
        <v>83</v>
      </c>
      <c r="AJ37" s="90" t="s">
        <v>68</v>
      </c>
      <c r="AK37" s="159"/>
      <c r="AL37" s="87" t="s">
        <v>81</v>
      </c>
      <c r="AM37" s="87" t="s">
        <v>91</v>
      </c>
      <c r="AN37" s="84"/>
    </row>
    <row r="38" spans="1:40" x14ac:dyDescent="0.2">
      <c r="B38" s="71">
        <v>1</v>
      </c>
      <c r="C38" s="75" t="s">
        <v>69</v>
      </c>
      <c r="D38" s="76">
        <f>AVERAGE(0.5,0.8)</f>
        <v>0.65</v>
      </c>
      <c r="E38" s="76">
        <f>AVERAGE(2.5,1.8)</f>
        <v>2.15</v>
      </c>
      <c r="F38" s="76">
        <f>AVERAGE(1,2.3)</f>
        <v>1.65</v>
      </c>
      <c r="G38" s="101"/>
      <c r="H38" s="101"/>
      <c r="I38" s="76">
        <f>D38*E38*F38</f>
        <v>2.3058749999999999</v>
      </c>
      <c r="J38" s="72">
        <f>I38+I39</f>
        <v>2.3503154460789055</v>
      </c>
      <c r="K38" s="132"/>
      <c r="L38" s="71">
        <v>1</v>
      </c>
      <c r="M38" s="75" t="s">
        <v>69</v>
      </c>
      <c r="N38" s="76">
        <f>AVERAGE(0.5,0.8)</f>
        <v>0.65</v>
      </c>
      <c r="O38" s="76">
        <f>AVERAGE(2.5,1.8)</f>
        <v>2.15</v>
      </c>
      <c r="P38" s="76">
        <f>AVERAGE(2.3,1)</f>
        <v>1.65</v>
      </c>
      <c r="Q38" s="101"/>
      <c r="R38" s="101"/>
      <c r="S38" s="76">
        <f>N38*O38*P38</f>
        <v>2.3058749999999999</v>
      </c>
      <c r="T38" s="72">
        <f>S38+S39</f>
        <v>2.3503154460789055</v>
      </c>
      <c r="U38" s="109"/>
      <c r="W38" s="163">
        <v>1</v>
      </c>
      <c r="X38">
        <v>3.5</v>
      </c>
      <c r="Y38">
        <v>0.9</v>
      </c>
      <c r="Z38">
        <v>1.5</v>
      </c>
      <c r="AA38" s="25">
        <f>(4/3)*PI()*(Y38/2)*(X38/2)*(Z38/2)</f>
        <v>2.4740042147019619</v>
      </c>
      <c r="AB38" s="147">
        <v>3.25</v>
      </c>
      <c r="AC38" s="109"/>
      <c r="AD38" s="126">
        <v>1</v>
      </c>
      <c r="AE38" s="93">
        <f>AA38</f>
        <v>2.4740042147019619</v>
      </c>
      <c r="AF38" s="93">
        <f t="shared" ref="AE38:AF39" si="16">AB38</f>
        <v>3.25</v>
      </c>
      <c r="AG38" s="94">
        <f>J38</f>
        <v>2.3503154460789055</v>
      </c>
      <c r="AH38" s="93">
        <f>T38</f>
        <v>2.3503154460789055</v>
      </c>
      <c r="AI38" s="95">
        <f t="shared" ref="AI38:AI41" si="17">AG38-AH38</f>
        <v>0</v>
      </c>
      <c r="AJ38" s="144">
        <f t="shared" ref="AJ38:AJ41" si="18">(AI38*100)/AG38</f>
        <v>0</v>
      </c>
      <c r="AK38" s="96">
        <v>0</v>
      </c>
      <c r="AL38" s="127"/>
      <c r="AM38" s="127"/>
      <c r="AN38" s="109"/>
    </row>
    <row r="39" spans="1:40" x14ac:dyDescent="0.2">
      <c r="C39" s="77" t="s">
        <v>72</v>
      </c>
      <c r="D39" s="78">
        <v>0.7</v>
      </c>
      <c r="E39" s="102"/>
      <c r="F39" s="102"/>
      <c r="G39" s="78">
        <v>0.4</v>
      </c>
      <c r="H39" s="78">
        <v>0.15</v>
      </c>
      <c r="I39" s="78">
        <f>D39*PI()*(1/3)*(((G39/2)^2)+((H39/2)^2)+((G39/2)*(H39/2)))</f>
        <v>4.4440446078905613E-2</v>
      </c>
      <c r="K39" s="132"/>
      <c r="M39" s="77" t="s">
        <v>72</v>
      </c>
      <c r="N39" s="78">
        <v>0.7</v>
      </c>
      <c r="O39" s="102"/>
      <c r="P39" s="102"/>
      <c r="Q39" s="78">
        <v>0.4</v>
      </c>
      <c r="R39" s="78">
        <v>0.15</v>
      </c>
      <c r="S39" s="78">
        <f>N39*PI()*(1/3)*(((Q39/2)^2)+((R39/2)^2)+((Q39/2)*(R39/2)))</f>
        <v>4.4440446078905613E-2</v>
      </c>
      <c r="U39" s="109"/>
      <c r="W39" s="163">
        <v>2</v>
      </c>
      <c r="X39">
        <v>3</v>
      </c>
      <c r="Y39" s="15">
        <v>1.3666666666666665</v>
      </c>
      <c r="Z39" s="15">
        <v>2</v>
      </c>
      <c r="AA39" s="25">
        <f>(4/3)*PI()*(Y39/2)*(X39/2)*(Z39/2)</f>
        <v>4.29350995990605</v>
      </c>
      <c r="AB39" s="147">
        <v>4.84</v>
      </c>
      <c r="AC39" s="109"/>
      <c r="AD39" s="104">
        <v>2</v>
      </c>
      <c r="AE39" s="15">
        <f t="shared" si="16"/>
        <v>4.29350995990605</v>
      </c>
      <c r="AF39" s="15">
        <f t="shared" si="16"/>
        <v>4.84</v>
      </c>
      <c r="AG39" s="91">
        <f>J41</f>
        <v>7.45</v>
      </c>
      <c r="AH39" s="15">
        <f>T41</f>
        <v>6.4125000000000005</v>
      </c>
      <c r="AI39" s="92">
        <f t="shared" si="17"/>
        <v>1.0374999999999996</v>
      </c>
      <c r="AJ39" s="25">
        <f t="shared" si="18"/>
        <v>13.926174496644292</v>
      </c>
      <c r="AK39" s="89">
        <v>1</v>
      </c>
      <c r="AL39" s="56">
        <f>AI39/AE39</f>
        <v>0.24164378554806057</v>
      </c>
      <c r="AM39" s="56">
        <f t="shared" ref="AM39" si="19">AI39/AF39</f>
        <v>0.21435950413223134</v>
      </c>
      <c r="AN39" s="109"/>
    </row>
    <row r="40" spans="1:40" x14ac:dyDescent="0.2">
      <c r="C40" s="82"/>
      <c r="D40" s="83"/>
      <c r="E40" s="103"/>
      <c r="F40" s="103"/>
      <c r="G40" s="83"/>
      <c r="H40" s="83"/>
      <c r="I40" s="83"/>
      <c r="K40" s="132"/>
      <c r="M40" s="82"/>
      <c r="N40" s="83"/>
      <c r="O40" s="103"/>
      <c r="P40" s="103"/>
      <c r="Q40" s="83"/>
      <c r="R40" s="83"/>
      <c r="S40" s="83"/>
      <c r="U40" s="109"/>
      <c r="W40" s="125">
        <v>3</v>
      </c>
      <c r="AA40" s="70" t="s">
        <v>71</v>
      </c>
      <c r="AC40" s="109"/>
      <c r="AD40" s="134">
        <v>3</v>
      </c>
      <c r="AE40" s="140" t="s">
        <v>71</v>
      </c>
      <c r="AF40" s="127"/>
      <c r="AG40" s="141">
        <f>J48</f>
        <v>1.9124999999999999</v>
      </c>
      <c r="AH40" s="136">
        <f>T48</f>
        <v>1.9124999999999999</v>
      </c>
      <c r="AI40" s="142">
        <f t="shared" si="17"/>
        <v>0</v>
      </c>
      <c r="AJ40" s="143">
        <f t="shared" si="18"/>
        <v>0</v>
      </c>
      <c r="AK40" s="138" t="s">
        <v>71</v>
      </c>
      <c r="AL40" s="139"/>
      <c r="AM40" s="139"/>
      <c r="AN40" s="109"/>
    </row>
    <row r="41" spans="1:40" x14ac:dyDescent="0.2">
      <c r="B41" s="71">
        <v>2</v>
      </c>
      <c r="C41" s="75" t="s">
        <v>69</v>
      </c>
      <c r="D41" s="76">
        <v>1</v>
      </c>
      <c r="E41" s="76">
        <v>3</v>
      </c>
      <c r="F41" s="76">
        <v>2</v>
      </c>
      <c r="G41" s="101"/>
      <c r="H41" s="101"/>
      <c r="I41" s="76">
        <f t="shared" ref="I41:I43" si="20">D41*E41*F41</f>
        <v>6</v>
      </c>
      <c r="J41" s="72">
        <f>I41+I42+I43</f>
        <v>7.45</v>
      </c>
      <c r="K41" s="132"/>
      <c r="L41" s="71">
        <v>2</v>
      </c>
      <c r="M41" s="75" t="s">
        <v>69</v>
      </c>
      <c r="N41" s="76">
        <v>1</v>
      </c>
      <c r="O41" s="76">
        <v>3</v>
      </c>
      <c r="P41" s="76">
        <v>2</v>
      </c>
      <c r="Q41" s="101"/>
      <c r="R41" s="101"/>
      <c r="S41" s="76">
        <f t="shared" ref="S41:S46" si="21">N41*O41*P41</f>
        <v>6</v>
      </c>
      <c r="T41" s="72">
        <f>S41+S42+S43-S44-S45-S46</f>
        <v>6.4125000000000005</v>
      </c>
      <c r="U41" s="109"/>
      <c r="W41" s="125">
        <v>4</v>
      </c>
      <c r="AA41" s="70" t="s">
        <v>71</v>
      </c>
      <c r="AC41" s="109"/>
      <c r="AD41" s="134">
        <v>4</v>
      </c>
      <c r="AE41" s="140" t="s">
        <v>71</v>
      </c>
      <c r="AF41" s="127"/>
      <c r="AG41" s="141">
        <f>J50</f>
        <v>2.0111615008234622</v>
      </c>
      <c r="AH41" s="136">
        <f>T50</f>
        <v>1.9324115008234621</v>
      </c>
      <c r="AI41" s="142">
        <f t="shared" si="17"/>
        <v>7.8750000000000098E-2</v>
      </c>
      <c r="AJ41" s="143">
        <f t="shared" si="18"/>
        <v>3.9156477472224989</v>
      </c>
      <c r="AK41" s="138" t="s">
        <v>71</v>
      </c>
      <c r="AL41" s="139"/>
      <c r="AM41" s="139"/>
      <c r="AN41" s="109"/>
    </row>
    <row r="42" spans="1:40" x14ac:dyDescent="0.2">
      <c r="C42" s="75" t="s">
        <v>69</v>
      </c>
      <c r="D42" s="76">
        <v>1</v>
      </c>
      <c r="E42" s="76">
        <v>1.5</v>
      </c>
      <c r="F42" s="76">
        <v>0.5</v>
      </c>
      <c r="G42" s="101"/>
      <c r="H42" s="101"/>
      <c r="I42" s="76">
        <f t="shared" si="20"/>
        <v>0.75</v>
      </c>
      <c r="K42" s="132"/>
      <c r="M42" s="75" t="s">
        <v>69</v>
      </c>
      <c r="N42" s="76">
        <v>0.5</v>
      </c>
      <c r="O42" s="76">
        <v>2</v>
      </c>
      <c r="P42" s="76">
        <v>0.7</v>
      </c>
      <c r="Q42" s="101"/>
      <c r="R42" s="101"/>
      <c r="S42" s="76">
        <f t="shared" si="21"/>
        <v>0.7</v>
      </c>
      <c r="U42" s="109"/>
      <c r="AC42" s="109"/>
      <c r="AN42" s="109"/>
    </row>
    <row r="43" spans="1:40" x14ac:dyDescent="0.2">
      <c r="C43" s="75" t="s">
        <v>69</v>
      </c>
      <c r="D43" s="76">
        <v>0.7</v>
      </c>
      <c r="E43" s="76">
        <v>2</v>
      </c>
      <c r="F43" s="76">
        <v>0.5</v>
      </c>
      <c r="G43" s="101"/>
      <c r="H43" s="101"/>
      <c r="I43" s="76">
        <f t="shared" si="20"/>
        <v>0.7</v>
      </c>
      <c r="K43" s="132"/>
      <c r="M43" s="75" t="s">
        <v>69</v>
      </c>
      <c r="N43" s="76">
        <v>0.5</v>
      </c>
      <c r="O43" s="76">
        <v>1.6</v>
      </c>
      <c r="P43" s="76">
        <v>1</v>
      </c>
      <c r="Q43" s="101"/>
      <c r="R43" s="101"/>
      <c r="S43" s="76">
        <f t="shared" si="21"/>
        <v>0.8</v>
      </c>
      <c r="U43" s="109"/>
      <c r="AC43" s="109"/>
      <c r="AF43" s="148"/>
      <c r="AG43" s="149" t="s">
        <v>98</v>
      </c>
      <c r="AH43" s="150"/>
      <c r="AI43" s="150"/>
      <c r="AJ43" s="150"/>
      <c r="AK43" s="150"/>
      <c r="AL43" s="150"/>
      <c r="AM43" s="151"/>
      <c r="AN43" s="109"/>
    </row>
    <row r="44" spans="1:40" x14ac:dyDescent="0.2">
      <c r="C44" s="82"/>
      <c r="D44" s="83"/>
      <c r="E44" s="83"/>
      <c r="F44" s="83"/>
      <c r="G44" s="103"/>
      <c r="H44" s="103"/>
      <c r="I44" s="83"/>
      <c r="K44" s="132"/>
      <c r="M44" s="79" t="s">
        <v>69</v>
      </c>
      <c r="N44" s="80">
        <v>0.4</v>
      </c>
      <c r="O44" s="80">
        <v>0.6</v>
      </c>
      <c r="P44" s="80">
        <v>0.5</v>
      </c>
      <c r="Q44" s="99"/>
      <c r="R44" s="99"/>
      <c r="S44" s="80">
        <f t="shared" si="21"/>
        <v>0.12</v>
      </c>
      <c r="U44" s="109"/>
      <c r="AC44" s="109"/>
      <c r="AF44" s="31"/>
      <c r="AG44" s="57"/>
      <c r="AH44" s="64" t="s">
        <v>84</v>
      </c>
      <c r="AI44" s="58">
        <f>AVERAGE(AI12,AI40:AI41)</f>
        <v>8.7499999999999609E-3</v>
      </c>
      <c r="AJ44" s="58">
        <f>AVERAGE(AJ12,AJ40:AJ41)</f>
        <v>0.88854924907416455</v>
      </c>
      <c r="AK44" s="62"/>
      <c r="AL44" s="63"/>
      <c r="AM44" s="152"/>
      <c r="AN44" s="109"/>
    </row>
    <row r="45" spans="1:40" x14ac:dyDescent="0.2">
      <c r="C45" s="82"/>
      <c r="D45" s="83"/>
      <c r="E45" s="83"/>
      <c r="F45" s="83"/>
      <c r="G45" s="103"/>
      <c r="H45" s="103"/>
      <c r="I45" s="83"/>
      <c r="K45" s="132"/>
      <c r="M45" s="79" t="s">
        <v>69</v>
      </c>
      <c r="N45" s="80">
        <v>0.7</v>
      </c>
      <c r="O45" s="80">
        <v>1.5</v>
      </c>
      <c r="P45" s="80">
        <v>0.75</v>
      </c>
      <c r="Q45" s="99"/>
      <c r="R45" s="99"/>
      <c r="S45" s="80">
        <f t="shared" si="21"/>
        <v>0.78749999999999987</v>
      </c>
      <c r="U45" s="109"/>
      <c r="AC45" s="109"/>
      <c r="AF45" s="31"/>
      <c r="AG45" s="57"/>
      <c r="AH45" s="64" t="s">
        <v>85</v>
      </c>
      <c r="AI45" s="58">
        <f>STDEV(AI12,AI40:AI41)</f>
        <v>6.6061051308619209E-2</v>
      </c>
      <c r="AJ45" s="58">
        <f>STDEV(AJ12,AJ40:AJ41)</f>
        <v>2.6950174374424609</v>
      </c>
      <c r="AK45" s="62"/>
      <c r="AL45" s="63"/>
      <c r="AM45" s="152"/>
      <c r="AN45" s="109"/>
    </row>
    <row r="46" spans="1:40" x14ac:dyDescent="0.2">
      <c r="C46" s="82"/>
      <c r="D46" s="83"/>
      <c r="E46" s="83"/>
      <c r="F46" s="83"/>
      <c r="G46" s="103"/>
      <c r="H46" s="103"/>
      <c r="I46" s="83"/>
      <c r="K46" s="132"/>
      <c r="M46" s="79" t="s">
        <v>69</v>
      </c>
      <c r="N46" s="80">
        <v>0.45</v>
      </c>
      <c r="O46" s="80">
        <v>0.8</v>
      </c>
      <c r="P46" s="80">
        <v>0.5</v>
      </c>
      <c r="Q46" s="99"/>
      <c r="R46" s="99"/>
      <c r="S46" s="80">
        <f t="shared" si="21"/>
        <v>0.18000000000000002</v>
      </c>
      <c r="U46" s="109"/>
      <c r="AC46" s="109"/>
      <c r="AF46" s="31"/>
      <c r="AG46" s="57"/>
      <c r="AH46" s="57"/>
      <c r="AI46" s="57"/>
      <c r="AJ46" s="58"/>
      <c r="AK46" s="62"/>
      <c r="AL46" s="63"/>
      <c r="AM46" s="152"/>
      <c r="AN46" s="109"/>
    </row>
    <row r="47" spans="1:40" x14ac:dyDescent="0.2">
      <c r="D47" s="15"/>
      <c r="E47" s="15"/>
      <c r="F47" s="15"/>
      <c r="G47" s="15"/>
      <c r="H47" s="15"/>
      <c r="K47" s="132"/>
      <c r="N47" s="15"/>
      <c r="O47" s="15"/>
      <c r="P47" s="15"/>
      <c r="Q47" s="15"/>
      <c r="R47" s="15"/>
      <c r="U47" s="109"/>
      <c r="AC47" s="109"/>
      <c r="AF47" s="31"/>
      <c r="AH47" s="65" t="s">
        <v>88</v>
      </c>
      <c r="AI47" s="66">
        <f>AVERAGE(AI7:AI11,AI13:AI13,AI39)</f>
        <v>0.93472297046532582</v>
      </c>
      <c r="AK47" s="65" t="s">
        <v>86</v>
      </c>
      <c r="AL47" s="145">
        <f>AVERAGE(AL7:AL11,AL13:AL13,AL39)</f>
        <v>0.22554731319323484</v>
      </c>
      <c r="AM47" s="153">
        <f>AVERAGE(AM7:AM11,AM13:AM13,AM39)</f>
        <v>0.18905776909012342</v>
      </c>
      <c r="AN47" s="109"/>
    </row>
    <row r="48" spans="1:40" x14ac:dyDescent="0.2">
      <c r="A48" t="s">
        <v>71</v>
      </c>
      <c r="B48" s="81">
        <v>3</v>
      </c>
      <c r="C48" s="75" t="s">
        <v>69</v>
      </c>
      <c r="D48" s="76">
        <v>0.75</v>
      </c>
      <c r="E48" s="76">
        <v>1.7</v>
      </c>
      <c r="F48" s="76">
        <v>1.5</v>
      </c>
      <c r="G48" s="101"/>
      <c r="H48" s="101"/>
      <c r="I48" s="76">
        <f>D48*E48*F48</f>
        <v>1.9124999999999999</v>
      </c>
      <c r="J48" s="72">
        <f>I48</f>
        <v>1.9124999999999999</v>
      </c>
      <c r="K48" s="132"/>
      <c r="L48" s="81">
        <v>3</v>
      </c>
      <c r="M48" s="75" t="s">
        <v>69</v>
      </c>
      <c r="N48" s="76">
        <v>0.75</v>
      </c>
      <c r="O48" s="76">
        <v>1.7</v>
      </c>
      <c r="P48" s="76">
        <v>1.5</v>
      </c>
      <c r="Q48" s="101"/>
      <c r="R48" s="101"/>
      <c r="S48" s="76">
        <f>N48*O48*P48</f>
        <v>1.9124999999999999</v>
      </c>
      <c r="T48" s="72">
        <f>S48</f>
        <v>1.9124999999999999</v>
      </c>
      <c r="U48" s="109"/>
      <c r="AC48" s="109"/>
      <c r="AF48" s="32"/>
      <c r="AG48" s="34"/>
      <c r="AH48" s="154" t="s">
        <v>89</v>
      </c>
      <c r="AI48" s="155">
        <f>STDEV(AI7:AI11,AI13:AI13,AI39)</f>
        <v>0.46422562628693809</v>
      </c>
      <c r="AJ48" s="34"/>
      <c r="AK48" s="156" t="s">
        <v>87</v>
      </c>
      <c r="AL48" s="157">
        <f>STDEV(AL7:AL11,AL13:AL13,AL39)</f>
        <v>0.10593976188021309</v>
      </c>
      <c r="AM48" s="158">
        <f>STDEV(AM7:AM11,AM13:AM13,AM39)</f>
        <v>0.1179697354845204</v>
      </c>
      <c r="AN48" s="109"/>
    </row>
    <row r="49" spans="1:40" x14ac:dyDescent="0.2">
      <c r="B49" s="133"/>
      <c r="D49" s="15"/>
      <c r="E49" s="15"/>
      <c r="F49" s="15"/>
      <c r="G49" s="15"/>
      <c r="H49" s="15"/>
      <c r="K49" s="132"/>
      <c r="L49" s="133"/>
      <c r="N49" s="15"/>
      <c r="O49" s="15"/>
      <c r="P49" s="15"/>
      <c r="Q49" s="15"/>
      <c r="R49" s="15"/>
      <c r="U49" s="109"/>
      <c r="AC49" s="109"/>
      <c r="AN49" s="109"/>
    </row>
    <row r="50" spans="1:40" x14ac:dyDescent="0.2">
      <c r="A50" t="s">
        <v>71</v>
      </c>
      <c r="B50" s="81">
        <v>4</v>
      </c>
      <c r="C50" s="75" t="s">
        <v>69</v>
      </c>
      <c r="D50" s="76">
        <v>0.75</v>
      </c>
      <c r="E50" s="76">
        <v>2.5</v>
      </c>
      <c r="F50" s="76">
        <f>AVERAGE(0.6,1.5)</f>
        <v>1.05</v>
      </c>
      <c r="G50" s="101"/>
      <c r="H50" s="101"/>
      <c r="I50" s="76">
        <f>D50*E50*F50</f>
        <v>1.96875</v>
      </c>
      <c r="J50" s="72">
        <f>I50+I51</f>
        <v>2.0111615008234622</v>
      </c>
      <c r="K50" s="132"/>
      <c r="L50" s="81">
        <v>4</v>
      </c>
      <c r="M50" s="75" t="s">
        <v>69</v>
      </c>
      <c r="N50" s="76">
        <v>0.75</v>
      </c>
      <c r="O50" s="76">
        <v>2.4</v>
      </c>
      <c r="P50" s="76">
        <f>AVERAGE(0.6,1.5)</f>
        <v>1.05</v>
      </c>
      <c r="Q50" s="101"/>
      <c r="R50" s="101"/>
      <c r="S50" s="76">
        <f>N50*O50*P50</f>
        <v>1.89</v>
      </c>
      <c r="T50" s="72">
        <f>S50+S51</f>
        <v>1.9324115008234621</v>
      </c>
      <c r="U50" s="109"/>
      <c r="AC50" s="109"/>
      <c r="AH50" s="1" t="s">
        <v>33</v>
      </c>
      <c r="AI50" s="25">
        <f>MIN(AI7:AI11,AI13,AI39)</f>
        <v>0.2445685834705742</v>
      </c>
      <c r="AK50" s="1" t="s">
        <v>33</v>
      </c>
      <c r="AL50" s="25">
        <f>MIN(AL7:AL11,AL13,AL39)</f>
        <v>8.5783579028814755E-2</v>
      </c>
      <c r="AM50" s="25">
        <f>MIN(AM7:AM11,AM13,AM39)</f>
        <v>5.2370146353442011E-2</v>
      </c>
      <c r="AN50" s="109"/>
    </row>
    <row r="51" spans="1:40" x14ac:dyDescent="0.2">
      <c r="C51" s="73" t="s">
        <v>70</v>
      </c>
      <c r="D51" s="74">
        <v>0.6</v>
      </c>
      <c r="E51" s="100"/>
      <c r="F51" s="100"/>
      <c r="G51" s="74">
        <v>0.3</v>
      </c>
      <c r="H51" s="100"/>
      <c r="I51" s="74">
        <f>PI()*((G51/2)^2)*D51</f>
        <v>4.2411500823462206E-2</v>
      </c>
      <c r="K51" s="132"/>
      <c r="M51" s="73" t="s">
        <v>70</v>
      </c>
      <c r="N51" s="74">
        <v>0.6</v>
      </c>
      <c r="O51" s="100"/>
      <c r="P51" s="100"/>
      <c r="Q51" s="74">
        <v>0.3</v>
      </c>
      <c r="R51" s="100"/>
      <c r="S51" s="74">
        <f>PI()*((Q51/2)^2)*N51</f>
        <v>4.2411500823462206E-2</v>
      </c>
      <c r="U51" s="109"/>
      <c r="AC51" s="109"/>
      <c r="AH51" s="1" t="s">
        <v>34</v>
      </c>
      <c r="AI51" s="25">
        <f>MAX(AI7:AI11,AI13,AI39)</f>
        <v>1.6037499999999998</v>
      </c>
      <c r="AK51" s="1" t="s">
        <v>34</v>
      </c>
      <c r="AL51" s="25">
        <f>MAX(AL7:AL11,AL13,AL39)</f>
        <v>0.37234232064524064</v>
      </c>
      <c r="AM51" s="25">
        <f>MAX(AM7:AM11,AM13,AM39)</f>
        <v>0.39627329192546562</v>
      </c>
      <c r="AN51" s="109"/>
    </row>
    <row r="52" spans="1:40" s="34" customFormat="1" x14ac:dyDescent="0.2">
      <c r="K52" s="181"/>
      <c r="U52" s="182"/>
      <c r="AC52" s="182"/>
      <c r="AN52" s="182"/>
    </row>
  </sheetData>
  <mergeCells count="6">
    <mergeCell ref="AE36:AF36"/>
    <mergeCell ref="AG36:AI36"/>
    <mergeCell ref="AL36:AM36"/>
    <mergeCell ref="AE5:AF5"/>
    <mergeCell ref="AG5:AI5"/>
    <mergeCell ref="AL5:AM5"/>
  </mergeCells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82c514c1-a717-4087-be06-d40d2070ad52}" enabled="0" method="" siteId="{82c514c1-a717-4087-be06-d40d2070ad5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 ME</vt:lpstr>
      <vt:lpstr>Sponge_abudance-JUN20-21</vt:lpstr>
      <vt:lpstr>Sheet1</vt:lpstr>
      <vt:lpstr>Nudibranch_abundance-JUN-JUL20</vt:lpstr>
      <vt:lpstr>Nudibranch_morphometry</vt:lpstr>
      <vt:lpstr>Feces_production</vt:lpstr>
      <vt:lpstr>Silicon_in_feces</vt:lpstr>
      <vt:lpstr>Sponge skeleton (bSi) content</vt:lpstr>
      <vt:lpstr>Predation-in-situ_experiments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</dc:creator>
  <cp:lastModifiedBy>Microsoft Office User</cp:lastModifiedBy>
  <dcterms:created xsi:type="dcterms:W3CDTF">2022-04-25T08:11:58Z</dcterms:created>
  <dcterms:modified xsi:type="dcterms:W3CDTF">2023-05-10T03:17:51Z</dcterms:modified>
</cp:coreProperties>
</file>