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9560" windowHeight="9405" activeTab="2"/>
  </bookViews>
  <sheets>
    <sheet name="Dash Board" sheetId="4" r:id="rId1"/>
    <sheet name="Risk List" sheetId="1" r:id="rId2"/>
    <sheet name="Issue List" sheetId="5" r:id="rId3"/>
    <sheet name="Sheet1" sheetId="2" state="hidden" r:id="rId4"/>
  </sheets>
  <definedNames>
    <definedName name="_xlnm.Print_Area" localSheetId="1">'Risk List'!$B$1:$O$15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4" l="1"/>
  <c r="F15" i="4"/>
  <c r="B14" i="1"/>
  <c r="B10" i="5"/>
  <c r="B5" i="5" l="1"/>
  <c r="B6" i="5" s="1"/>
  <c r="B7" i="5" s="1"/>
  <c r="B8" i="5" s="1"/>
  <c r="B9" i="5" s="1"/>
  <c r="B11" i="5" s="1"/>
  <c r="B12" i="5" s="1"/>
  <c r="B13" i="5" s="1"/>
  <c r="B14" i="5" s="1"/>
  <c r="B15" i="5" s="1"/>
  <c r="B16" i="5" s="1"/>
  <c r="B7" i="1" l="1"/>
  <c r="B8" i="1" s="1"/>
  <c r="B9" i="1" s="1"/>
  <c r="B10" i="1" s="1"/>
  <c r="B11" i="1" s="1"/>
  <c r="B12" i="1" s="1"/>
  <c r="B13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J7" i="1"/>
  <c r="C21" i="4" l="1"/>
  <c r="C20" i="4"/>
  <c r="C16" i="4"/>
  <c r="C19" i="4"/>
  <c r="C18" i="4"/>
  <c r="C17" i="4"/>
  <c r="C15" i="4"/>
  <c r="C22" i="4" l="1"/>
  <c r="J11" i="1"/>
  <c r="K11" i="1" s="1"/>
  <c r="J6" i="1"/>
  <c r="K6" i="1" s="1"/>
  <c r="J8" i="1"/>
  <c r="K8" i="1" s="1"/>
  <c r="J9" i="1"/>
  <c r="K9" i="1" s="1"/>
  <c r="J10" i="1"/>
  <c r="K10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D9" i="4" l="1"/>
  <c r="E9" i="4"/>
  <c r="C9" i="4"/>
  <c r="C8" i="4"/>
  <c r="E8" i="4"/>
  <c r="D8" i="4"/>
  <c r="E10" i="4"/>
  <c r="C10" i="4"/>
  <c r="D10" i="4"/>
  <c r="E6" i="4"/>
  <c r="D6" i="4"/>
  <c r="C6" i="4"/>
  <c r="C7" i="4"/>
  <c r="D7" i="4"/>
  <c r="E7" i="4"/>
  <c r="F8" i="4" l="1"/>
  <c r="F7" i="4"/>
  <c r="E11" i="4"/>
  <c r="F9" i="4"/>
  <c r="F6" i="4"/>
  <c r="C11" i="4"/>
  <c r="D11" i="4"/>
  <c r="F10" i="4"/>
  <c r="F11" i="4" l="1"/>
  <c r="G9" i="4" s="1"/>
  <c r="G8" i="4" l="1"/>
  <c r="G7" i="4"/>
  <c r="E12" i="4"/>
  <c r="G10" i="4"/>
  <c r="G6" i="4"/>
  <c r="D12" i="4"/>
  <c r="C12" i="4"/>
  <c r="F12" i="4" l="1"/>
  <c r="G11" i="4" s="1"/>
</calcChain>
</file>

<file path=xl/sharedStrings.xml><?xml version="1.0" encoding="utf-8"?>
<sst xmlns="http://schemas.openxmlformats.org/spreadsheetml/2006/main" count="220" uniqueCount="95">
  <si>
    <t>ID</t>
  </si>
  <si>
    <t>Priority</t>
  </si>
  <si>
    <t>Medium</t>
  </si>
  <si>
    <t>High</t>
  </si>
  <si>
    <t>Low</t>
  </si>
  <si>
    <t>Total</t>
  </si>
  <si>
    <t>% Of Total</t>
  </si>
  <si>
    <t>% of Total</t>
  </si>
  <si>
    <t>Actual Status</t>
  </si>
  <si>
    <t>Closed</t>
  </si>
  <si>
    <t>Current Task Status / Priority</t>
  </si>
  <si>
    <t>Department</t>
  </si>
  <si>
    <t>Planning</t>
  </si>
  <si>
    <t>Requirement</t>
  </si>
  <si>
    <t>Architect</t>
  </si>
  <si>
    <t>Desgin</t>
  </si>
  <si>
    <t>Code</t>
  </si>
  <si>
    <t>Test</t>
  </si>
  <si>
    <t xml:space="preserve">Scope is ill defined </t>
  </si>
  <si>
    <t xml:space="preserve">Estimates are inaccurate </t>
  </si>
  <si>
    <t>Change management overload</t>
  </si>
  <si>
    <t>Management</t>
  </si>
  <si>
    <t xml:space="preserve">Stakeholder conflict over proposed changes </t>
  </si>
  <si>
    <t>Change request conflicts with requirements</t>
  </si>
  <si>
    <t xml:space="preserve">Stakeholder conflict </t>
  </si>
  <si>
    <t>Project team misunderstand requirements </t>
  </si>
  <si>
    <t>Resource shortfalls</t>
  </si>
  <si>
    <t xml:space="preserve">Learning curves lead to delays and cost overrun </t>
  </si>
  <si>
    <t xml:space="preserve">Resources are inexperienced </t>
  </si>
  <si>
    <t xml:space="preserve">Team members with negative attitudes towards the project </t>
  </si>
  <si>
    <t>Architecture is not fit for purpose</t>
  </si>
  <si>
    <t xml:space="preserve">Architecture is infeasible </t>
  </si>
  <si>
    <t>Design is not fit for purpose</t>
  </si>
  <si>
    <t>Requirements are ambiguous</t>
  </si>
  <si>
    <t xml:space="preserve">Requirements are incomplete </t>
  </si>
  <si>
    <t>Delays to training impact the project </t>
  </si>
  <si>
    <t xml:space="preserve">Errors in key project management processes </t>
  </si>
  <si>
    <t>Inaccurate function priorities </t>
  </si>
  <si>
    <t>Design lacks flexibility</t>
  </si>
  <si>
    <t>Impact</t>
  </si>
  <si>
    <t>Risk score</t>
  </si>
  <si>
    <t>Team meeting and re-estimate.</t>
  </si>
  <si>
    <t>Design</t>
  </si>
  <si>
    <t>Risk department summary</t>
  </si>
  <si>
    <t>Action</t>
  </si>
  <si>
    <t>New</t>
  </si>
  <si>
    <t>Planned</t>
  </si>
  <si>
    <t>In Progress</t>
  </si>
  <si>
    <t>Reject</t>
  </si>
  <si>
    <t>List changes, prioritize them and deal with customer</t>
  </si>
  <si>
    <t>Team meeting to review each key process and modify them.</t>
  </si>
  <si>
    <t>All member research and read documents of previous course.</t>
  </si>
  <si>
    <t>Team meeting to solve the problem.</t>
  </si>
  <si>
    <t>Team meeting to redefine scope and review with customer.</t>
  </si>
  <si>
    <t>Analyse clearly and review with stakeholeder.</t>
  </si>
  <si>
    <t>Review with customer to define clearly for function priorities.</t>
  </si>
  <si>
    <t>Customer rejects the prototype</t>
  </si>
  <si>
    <t>Request some prototypes of others website to customer, re-design follow the choice of customer.</t>
  </si>
  <si>
    <t>Customer meeting to review and make clear that requirement.</t>
  </si>
  <si>
    <t>Customer has inaccurate expectations </t>
  </si>
  <si>
    <t>Propose to customer for he can understand his expectations.</t>
  </si>
  <si>
    <t>Increase effort for all members.</t>
  </si>
  <si>
    <t>Research and collect advices from professor</t>
  </si>
  <si>
    <t>Research and re-design to fit the purpose.</t>
  </si>
  <si>
    <t>Lack of needed knowledge</t>
  </si>
  <si>
    <t>Reserch and increase effort to study new programming language.</t>
  </si>
  <si>
    <t>Risk Description</t>
  </si>
  <si>
    <t>Comment</t>
  </si>
  <si>
    <t>Close_Date</t>
  </si>
  <si>
    <t>Open_Date</t>
  </si>
  <si>
    <t>Fixed</t>
  </si>
  <si>
    <t>Active</t>
  </si>
  <si>
    <t>Indentified_Date</t>
  </si>
  <si>
    <t>Issue Description</t>
  </si>
  <si>
    <t>Owner</t>
  </si>
  <si>
    <t>Probability(scale)</t>
  </si>
  <si>
    <t>Analyse impact of change to requirement and review with customer</t>
  </si>
  <si>
    <t>HaiTran</t>
  </si>
  <si>
    <t>MinhDoan</t>
  </si>
  <si>
    <t>TaiNguyen</t>
  </si>
  <si>
    <t>HienNguyen</t>
  </si>
  <si>
    <t>KhoiNguyen</t>
  </si>
  <si>
    <t>24/10/2016</t>
  </si>
  <si>
    <t>28/11/2016</t>
  </si>
  <si>
    <t>20/11/2016</t>
  </si>
  <si>
    <t>31/10/2016</t>
  </si>
  <si>
    <t>29/11/2016</t>
  </si>
  <si>
    <t>23/2/2017</t>
  </si>
  <si>
    <t>23/1/2017</t>
  </si>
  <si>
    <t>Team meeting to define legend and fix process.</t>
  </si>
  <si>
    <t>Lack of knowledge about coding and architecture.</t>
  </si>
  <si>
    <t>Need to meet customer and define clearly.</t>
  </si>
  <si>
    <t>Issue Status</t>
  </si>
  <si>
    <t>Resource is turn over</t>
  </si>
  <si>
    <t>Resources is turn 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</si>
</sst>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Segoe UI"/>
      <family val="2"/>
    </font>
    <font>
      <sz val="8"/>
      <name val="Segoe UI"/>
      <family val="2"/>
    </font>
    <font>
      <b/>
      <sz val="8"/>
      <color theme="0" tint="-4.9989318521683403E-2"/>
      <name val="Segoe UI"/>
      <family val="2"/>
    </font>
    <font>
      <sz val="9"/>
      <color theme="1" tint="0.249977111117893"/>
      <name val="Segoe UI"/>
      <family val="2"/>
    </font>
    <font>
      <sz val="9"/>
      <name val="Calibri"/>
      <family val="2"/>
      <charset val="238"/>
      <scheme val="minor"/>
    </font>
    <font>
      <b/>
      <sz val="9"/>
      <color theme="1" tint="0.249977111117893"/>
      <name val="Segoe UI"/>
      <family val="2"/>
      <charset val="238"/>
    </font>
    <font>
      <sz val="9"/>
      <color theme="0"/>
      <name val="Calibri"/>
      <family val="2"/>
      <charset val="238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charset val="238"/>
      <scheme val="minor"/>
    </font>
    <font>
      <sz val="9"/>
      <color theme="1" tint="4.9989318521683403E-2"/>
      <name val="Calibri"/>
      <family val="2"/>
      <scheme val="minor"/>
    </font>
    <font>
      <sz val="9"/>
      <color theme="1" tint="4.9989318521683403E-2"/>
      <name val="Segoe UI"/>
      <family val="2"/>
    </font>
    <font>
      <sz val="9"/>
      <name val="Calibri"/>
      <family val="2"/>
      <charset val="163"/>
      <scheme val="minor"/>
    </font>
    <font>
      <b/>
      <sz val="12"/>
      <color theme="0"/>
      <name val="Calibri Light"/>
      <family val="1"/>
      <charset val="163"/>
      <scheme val="major"/>
    </font>
    <font>
      <sz val="12"/>
      <color theme="1"/>
      <name val="Calibri Light"/>
      <family val="1"/>
      <charset val="163"/>
      <scheme val="major"/>
    </font>
    <font>
      <b/>
      <sz val="12"/>
      <name val="Calibri Light"/>
      <family val="1"/>
      <charset val="163"/>
      <scheme val="major"/>
    </font>
    <font>
      <b/>
      <sz val="12"/>
      <color theme="1"/>
      <name val="Calibri Light"/>
      <family val="1"/>
      <charset val="163"/>
      <scheme val="major"/>
    </font>
    <font>
      <sz val="9"/>
      <name val="Calibri"/>
      <scheme val="minor"/>
    </font>
    <font>
      <sz val="9"/>
      <name val="Calibri"/>
      <family val="2"/>
      <scheme val="minor"/>
    </font>
    <font>
      <sz val="9"/>
      <name val="Times New Roman"/>
      <family val="1"/>
    </font>
    <font>
      <b/>
      <sz val="9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2" fillId="0" borderId="0" xfId="0" applyFont="1"/>
    <xf numFmtId="0" fontId="3" fillId="0" borderId="0" xfId="0" applyFont="1" applyFill="1" applyBorder="1"/>
    <xf numFmtId="0" fontId="5" fillId="3" borderId="0" xfId="0" applyFont="1" applyFill="1"/>
    <xf numFmtId="0" fontId="5" fillId="0" borderId="0" xfId="0" applyFont="1" applyFill="1"/>
    <xf numFmtId="9" fontId="8" fillId="0" borderId="0" xfId="0" applyNumberFormat="1" applyFont="1" applyFill="1" applyBorder="1"/>
    <xf numFmtId="0" fontId="5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5" fillId="3" borderId="0" xfId="0" applyFont="1" applyFill="1" applyBorder="1"/>
    <xf numFmtId="0" fontId="9" fillId="0" borderId="0" xfId="0" applyFont="1" applyBorder="1" applyAlignment="1">
      <alignment horizontal="center"/>
    </xf>
    <xf numFmtId="0" fontId="5" fillId="0" borderId="0" xfId="0" applyFont="1" applyFill="1" applyBorder="1" applyAlignment="1"/>
    <xf numFmtId="0" fontId="2" fillId="0" borderId="0" xfId="0" applyFont="1" applyBorder="1"/>
    <xf numFmtId="0" fontId="11" fillId="0" borderId="0" xfId="0" applyFont="1" applyBorder="1" applyAlignment="1">
      <alignment horizontal="center"/>
    </xf>
    <xf numFmtId="0" fontId="12" fillId="3" borderId="0" xfId="0" applyFont="1" applyFill="1" applyBorder="1"/>
    <xf numFmtId="0" fontId="6" fillId="0" borderId="2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3" fillId="0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13" fillId="4" borderId="1" xfId="0" applyFont="1" applyFill="1" applyBorder="1" applyAlignment="1">
      <alignment vertical="center" wrapText="1"/>
    </xf>
    <xf numFmtId="10" fontId="2" fillId="0" borderId="0" xfId="0" applyNumberFormat="1" applyFont="1"/>
    <xf numFmtId="14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5" fillId="0" borderId="0" xfId="0" applyFont="1"/>
    <xf numFmtId="0" fontId="16" fillId="3" borderId="3" xfId="0" applyFont="1" applyFill="1" applyBorder="1" applyAlignment="1"/>
    <xf numFmtId="0" fontId="17" fillId="0" borderId="3" xfId="0" applyFont="1" applyBorder="1" applyAlignment="1">
      <alignment horizontal="center"/>
    </xf>
    <xf numFmtId="0" fontId="17" fillId="2" borderId="3" xfId="0" applyFont="1" applyFill="1" applyBorder="1" applyAlignment="1">
      <alignment horizontal="center"/>
    </xf>
    <xf numFmtId="9" fontId="16" fillId="2" borderId="3" xfId="1" applyFont="1" applyFill="1" applyBorder="1" applyAlignment="1">
      <alignment horizontal="center"/>
    </xf>
    <xf numFmtId="0" fontId="16" fillId="3" borderId="3" xfId="0" applyFont="1" applyFill="1" applyBorder="1" applyAlignment="1">
      <alignment wrapText="1"/>
    </xf>
    <xf numFmtId="0" fontId="16" fillId="3" borderId="5" xfId="0" applyFont="1" applyFill="1" applyBorder="1" applyAlignment="1">
      <alignment wrapText="1"/>
    </xf>
    <xf numFmtId="0" fontId="17" fillId="0" borderId="5" xfId="0" applyFont="1" applyBorder="1" applyAlignment="1">
      <alignment horizontal="center"/>
    </xf>
    <xf numFmtId="0" fontId="17" fillId="2" borderId="5" xfId="0" applyFont="1" applyFill="1" applyBorder="1" applyAlignment="1">
      <alignment horizontal="center"/>
    </xf>
    <xf numFmtId="9" fontId="16" fillId="2" borderId="5" xfId="1" applyFont="1" applyFill="1" applyBorder="1" applyAlignment="1">
      <alignment horizontal="center"/>
    </xf>
    <xf numFmtId="0" fontId="16" fillId="3" borderId="4" xfId="0" applyFont="1" applyFill="1" applyBorder="1" applyAlignment="1">
      <alignment wrapText="1"/>
    </xf>
    <xf numFmtId="0" fontId="17" fillId="2" borderId="4" xfId="0" applyFont="1" applyFill="1" applyBorder="1" applyAlignment="1">
      <alignment horizontal="center"/>
    </xf>
    <xf numFmtId="9" fontId="17" fillId="2" borderId="4" xfId="0" applyNumberFormat="1" applyFont="1" applyFill="1" applyBorder="1" applyAlignment="1">
      <alignment horizontal="center"/>
    </xf>
    <xf numFmtId="9" fontId="16" fillId="2" borderId="0" xfId="1" applyFont="1" applyFill="1" applyBorder="1" applyAlignment="1">
      <alignment horizontal="center"/>
    </xf>
    <xf numFmtId="0" fontId="17" fillId="0" borderId="3" xfId="0" applyFont="1" applyBorder="1"/>
    <xf numFmtId="0" fontId="17" fillId="0" borderId="7" xfId="0" applyFont="1" applyBorder="1"/>
    <xf numFmtId="0" fontId="17" fillId="0" borderId="6" xfId="0" applyFont="1" applyBorder="1"/>
    <xf numFmtId="9" fontId="16" fillId="2" borderId="3" xfId="1" applyNumberFormat="1" applyFont="1" applyFill="1" applyBorder="1" applyAlignment="1">
      <alignment horizontal="center"/>
    </xf>
    <xf numFmtId="0" fontId="14" fillId="5" borderId="0" xfId="0" applyFont="1" applyFill="1" applyAlignment="1"/>
    <xf numFmtId="0" fontId="14" fillId="5" borderId="3" xfId="0" applyFont="1" applyFill="1" applyBorder="1" applyAlignment="1">
      <alignment horizontal="center"/>
    </xf>
    <xf numFmtId="9" fontId="14" fillId="5" borderId="3" xfId="1" applyFont="1" applyFill="1" applyBorder="1" applyAlignment="1">
      <alignment horizontal="center"/>
    </xf>
    <xf numFmtId="0" fontId="4" fillId="5" borderId="0" xfId="0" applyFont="1" applyFill="1" applyBorder="1"/>
    <xf numFmtId="0" fontId="16" fillId="3" borderId="7" xfId="0" applyFont="1" applyFill="1" applyBorder="1" applyAlignment="1">
      <alignment wrapText="1"/>
    </xf>
    <xf numFmtId="0" fontId="17" fillId="0" borderId="4" xfId="0" applyFont="1" applyBorder="1" applyAlignment="1">
      <alignment horizontal="center"/>
    </xf>
    <xf numFmtId="0" fontId="18" fillId="0" borderId="2" xfId="0" applyFont="1" applyFill="1" applyBorder="1" applyAlignment="1">
      <alignment vertical="center"/>
    </xf>
    <xf numFmtId="0" fontId="18" fillId="0" borderId="1" xfId="0" applyFont="1" applyFill="1" applyBorder="1" applyAlignment="1">
      <alignment vertical="center" wrapText="1"/>
    </xf>
    <xf numFmtId="0" fontId="18" fillId="0" borderId="9" xfId="0" applyFont="1" applyFill="1" applyBorder="1" applyAlignment="1">
      <alignment vertical="center"/>
    </xf>
    <xf numFmtId="0" fontId="18" fillId="0" borderId="9" xfId="0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19" fillId="0" borderId="9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14" fontId="19" fillId="0" borderId="1" xfId="0" applyNumberFormat="1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1" xfId="0" applyFont="1" applyFill="1" applyBorder="1" applyAlignment="1">
      <alignment vertical="center" wrapText="1"/>
    </xf>
    <xf numFmtId="0" fontId="20" fillId="0" borderId="1" xfId="0" applyFont="1" applyFill="1" applyBorder="1" applyAlignment="1">
      <alignment vertical="center"/>
    </xf>
    <xf numFmtId="14" fontId="20" fillId="0" borderId="1" xfId="0" applyNumberFormat="1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20" fillId="0" borderId="9" xfId="0" applyFont="1" applyFill="1" applyBorder="1" applyAlignment="1">
      <alignment vertical="center"/>
    </xf>
    <xf numFmtId="14" fontId="20" fillId="0" borderId="2" xfId="0" applyNumberFormat="1" applyFont="1" applyFill="1" applyBorder="1" applyAlignment="1">
      <alignment horizontal="center" vertical="center"/>
    </xf>
    <xf numFmtId="0" fontId="20" fillId="0" borderId="8" xfId="0" applyNumberFormat="1" applyFont="1" applyFill="1" applyBorder="1" applyAlignment="1">
      <alignment horizontal="center" vertical="center"/>
    </xf>
    <xf numFmtId="0" fontId="20" fillId="0" borderId="2" xfId="0" applyNumberFormat="1" applyFont="1" applyFill="1" applyBorder="1" applyAlignment="1">
      <alignment horizontal="center" vertical="center"/>
    </xf>
    <xf numFmtId="0" fontId="21" fillId="2" borderId="2" xfId="0" applyNumberFormat="1" applyFont="1" applyFill="1" applyBorder="1" applyAlignment="1">
      <alignment vertical="center"/>
    </xf>
    <xf numFmtId="0" fontId="20" fillId="4" borderId="1" xfId="0" applyFont="1" applyFill="1" applyBorder="1" applyAlignment="1">
      <alignment vertical="center" wrapText="1"/>
    </xf>
    <xf numFmtId="0" fontId="20" fillId="0" borderId="1" xfId="0" applyFont="1" applyBorder="1" applyAlignment="1">
      <alignment vertical="center" wrapText="1"/>
    </xf>
    <xf numFmtId="0" fontId="20" fillId="0" borderId="1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14" fillId="5" borderId="3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0" tint="-0.34998626667073579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0" tint="-0.3499862666707357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indent="0" justifyLastLine="0" shrinkToFit="0" readingOrder="0"/>
      <border outline="0">
        <right style="thin">
          <color theme="0" tint="-0.34998626667073579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/>
      </border>
    </dxf>
    <dxf>
      <font>
        <strike val="0"/>
        <outline val="0"/>
        <shadow val="0"/>
        <u val="none"/>
        <vertAlign val="baseline"/>
        <sz val="9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indent="0" justifyLastLine="0" shrinkToFit="0" readingOrder="0"/>
    </dxf>
    <dxf>
      <border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9"/>
        <name val="Calibri"/>
        <scheme val="minor"/>
      </font>
      <alignment horizontal="general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 tint="-4.9989318521683403E-2"/>
        <name val="Segoe UI"/>
        <scheme val="none"/>
      </font>
      <fill>
        <patternFill patternType="solid">
          <fgColor indexed="64"/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0" tint="-0.34998626667073579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0" tint="-0.3499862666707357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3499862666707357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/>
      </border>
    </dxf>
    <dxf>
      <font>
        <strike val="0"/>
        <outline val="0"/>
        <shadow val="0"/>
        <u val="none"/>
        <vertAlign val="baseline"/>
        <sz val="9"/>
        <color auto="1"/>
        <name val="Times New Roman"/>
        <scheme val="none"/>
      </font>
      <fill>
        <patternFill patternType="none">
          <fgColor indexed="64"/>
          <bgColor auto="1"/>
        </patternFill>
      </fill>
      <alignment horizontal="general" vertical="center" textRotation="0" indent="0" justifyLastLine="0" shrinkToFit="0" readingOrder="0"/>
      <border outline="0">
        <right style="thin">
          <color theme="0" tint="-0.34998626667073579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/>
      </border>
    </dxf>
    <dxf>
      <font>
        <strike val="0"/>
        <outline val="0"/>
        <shadow val="0"/>
        <u val="none"/>
        <vertAlign val="baseline"/>
        <sz val="9"/>
        <color auto="1"/>
        <name val="Times New Roman"/>
        <scheme val="none"/>
      </font>
      <fill>
        <patternFill patternType="none">
          <fgColor indexed="64"/>
          <bgColor auto="1"/>
        </patternFill>
      </fill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Times New Roman"/>
        <scheme val="none"/>
      </font>
      <fill>
        <patternFill patternType="none">
          <fgColor indexed="64"/>
          <bgColor auto="1"/>
        </patternFill>
      </fill>
      <alignment horizontal="general" vertical="center" textRotation="0" indent="0" justifyLastLine="0" shrinkToFit="0" readingOrder="0"/>
    </dxf>
    <dxf>
      <border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9"/>
        <color auto="1"/>
        <name val="Times New Roman"/>
        <scheme val="none"/>
      </font>
      <alignment horizontal="general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 tint="-4.9989318521683403E-2"/>
        <name val="Segoe UI"/>
        <scheme val="none"/>
      </font>
      <fill>
        <patternFill patternType="solid">
          <fgColor indexed="64"/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 patternType="solid">
          <fgColor auto="1"/>
          <bgColor theme="1" tint="0.14996795556505021"/>
        </patternFill>
      </fill>
      <border>
        <vertical/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1" defaultTableStyle="TableStyleMedium2" defaultPivotStyle="PivotStyleLight16">
    <tableStyle name="Table Style 1" pivot="0" count="3">
      <tableStyleElement type="wholeTable" dxfId="33"/>
      <tableStyleElement type="headerRow" dxfId="32"/>
      <tableStyleElement type="firstRowStripe" dxfId="31"/>
    </tableStyle>
  </tableStyles>
  <colors>
    <mruColors>
      <color rgb="FFFF8F9C"/>
      <color rgb="FFFF5050"/>
      <color rgb="FFFF9393"/>
      <color rgb="FFFF9999"/>
      <color rgb="FFFF7C80"/>
      <color rgb="FFFFFF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Risk Priority</a:t>
            </a:r>
            <a:endParaRPr lang="vi-V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DA4-486B-B2D6-D5C50BFB47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DA4-486B-B2D6-D5C50BFB47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DA4-486B-B2D6-D5C50BFB470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'Dash Board'!$C$5:$E$5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'Dash Board'!$C$11:$E$11</c:f>
              <c:numCache>
                <c:formatCode>General</c:formatCode>
                <c:ptCount val="3"/>
                <c:pt idx="0">
                  <c:v>9</c:v>
                </c:pt>
                <c:pt idx="1">
                  <c:v>11</c:v>
                </c:pt>
                <c:pt idx="2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5DA4-486B-B2D6-D5C50BFB470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 </a:t>
            </a:r>
            <a:r>
              <a:rPr lang="en-US"/>
              <a:t>Risk</a:t>
            </a:r>
            <a:r>
              <a:rPr lang="en-US" baseline="0"/>
              <a:t> status</a:t>
            </a:r>
            <a:endParaRPr lang="vi-V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4B2-417A-931C-11B933E234D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4B2-417A-931C-11B933E234D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4B2-417A-931C-11B933E234D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74B2-417A-931C-11B933E234D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3A3-419B-A0BB-08F3FD85EE8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'Dash Board'!$B$6:$B$10</c:f>
              <c:strCache>
                <c:ptCount val="5"/>
                <c:pt idx="0">
                  <c:v>New</c:v>
                </c:pt>
                <c:pt idx="1">
                  <c:v>Planned</c:v>
                </c:pt>
                <c:pt idx="2">
                  <c:v>In Progress</c:v>
                </c:pt>
                <c:pt idx="3">
                  <c:v>Closed</c:v>
                </c:pt>
                <c:pt idx="4">
                  <c:v>Reject</c:v>
                </c:pt>
              </c:strCache>
            </c:strRef>
          </c:cat>
          <c:val>
            <c:numRef>
              <c:f>'Dash Board'!$F$6:$F$10</c:f>
              <c:numCache>
                <c:formatCode>General</c:formatCode>
                <c:ptCount val="5"/>
                <c:pt idx="0">
                  <c:v>0</c:v>
                </c:pt>
                <c:pt idx="1">
                  <c:v>7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74B2-417A-931C-11B933E234D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Risk department</a:t>
            </a:r>
            <a:endParaRPr lang="vi-V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Board'!$B$15:$B$21</c:f>
              <c:strCache>
                <c:ptCount val="7"/>
                <c:pt idx="0">
                  <c:v>Planning</c:v>
                </c:pt>
                <c:pt idx="1">
                  <c:v>Management</c:v>
                </c:pt>
                <c:pt idx="2">
                  <c:v>Requirement</c:v>
                </c:pt>
                <c:pt idx="3">
                  <c:v>Architect</c:v>
                </c:pt>
                <c:pt idx="4">
                  <c:v>Desgin</c:v>
                </c:pt>
                <c:pt idx="5">
                  <c:v>Code</c:v>
                </c:pt>
                <c:pt idx="6">
                  <c:v>Test</c:v>
                </c:pt>
              </c:strCache>
            </c:strRef>
          </c:cat>
          <c:val>
            <c:numRef>
              <c:f>'Dash Board'!$C$15:$C$21</c:f>
              <c:numCache>
                <c:formatCode>General</c:formatCode>
                <c:ptCount val="7"/>
                <c:pt idx="0">
                  <c:v>1</c:v>
                </c:pt>
                <c:pt idx="1">
                  <c:v>8</c:v>
                </c:pt>
                <c:pt idx="2">
                  <c:v>10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849-4F7B-A717-28C68026E16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2508544"/>
        <c:axId val="72519680"/>
      </c:barChart>
      <c:catAx>
        <c:axId val="7250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9680"/>
        <c:crosses val="autoZero"/>
        <c:auto val="1"/>
        <c:lblAlgn val="ctr"/>
        <c:lblOffset val="100"/>
        <c:noMultiLvlLbl val="0"/>
      </c:catAx>
      <c:valAx>
        <c:axId val="725196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25085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Issue</a:t>
            </a:r>
            <a:r>
              <a:rPr lang="en-US" baseline="0"/>
              <a:t> Status</a:t>
            </a:r>
            <a:endParaRPr lang="vi-V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'Dash Board'!$E$15:$E$16</c:f>
              <c:strCache>
                <c:ptCount val="2"/>
                <c:pt idx="0">
                  <c:v>Active</c:v>
                </c:pt>
                <c:pt idx="1">
                  <c:v>Fixed</c:v>
                </c:pt>
              </c:strCache>
            </c:strRef>
          </c:cat>
          <c:val>
            <c:numRef>
              <c:f>'Dash Board'!$F$15:$F$16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D58-48B1-B77D-6B958B94E29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517072</xdr:colOff>
      <xdr:row>3</xdr:row>
      <xdr:rowOff>191780</xdr:rowOff>
    </xdr:from>
    <xdr:to>
      <xdr:col>14</xdr:col>
      <xdr:colOff>666750</xdr:colOff>
      <xdr:row>19</xdr:row>
      <xdr:rowOff>204106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CE0ED5F5-A0D8-4C7F-A05B-AF65D92FB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190802</xdr:colOff>
      <xdr:row>22</xdr:row>
      <xdr:rowOff>28575</xdr:rowOff>
    </xdr:from>
    <xdr:to>
      <xdr:col>21</xdr:col>
      <xdr:colOff>598714</xdr:colOff>
      <xdr:row>38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DF3CB91A-BF33-47BF-86B2-5302FF3E06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421822</xdr:colOff>
      <xdr:row>22</xdr:row>
      <xdr:rowOff>86403</xdr:rowOff>
    </xdr:from>
    <xdr:to>
      <xdr:col>14</xdr:col>
      <xdr:colOff>653143</xdr:colOff>
      <xdr:row>38</xdr:row>
      <xdr:rowOff>13606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745C757D-EEA0-4E8F-A7DF-4917898F0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95251</xdr:colOff>
      <xdr:row>3</xdr:row>
      <xdr:rowOff>200024</xdr:rowOff>
    </xdr:from>
    <xdr:to>
      <xdr:col>21</xdr:col>
      <xdr:colOff>585108</xdr:colOff>
      <xdr:row>19</xdr:row>
      <xdr:rowOff>149679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D8EAB6BE-AD1C-4008-B2AD-2A535C153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5:L32" totalsRowShown="0" headerRowDxfId="27" dataDxfId="26" tableBorderDxfId="25">
  <autoFilter ref="B5:L32"/>
  <tableColumns count="11">
    <tableColumn id="1" name="ID" dataDxfId="24">
      <calculatedColumnFormula>B5+1</calculatedColumnFormula>
    </tableColumn>
    <tableColumn id="2" name="Risk Description" dataDxfId="23"/>
    <tableColumn id="6" name="Department" dataDxfId="22"/>
    <tableColumn id="4" name="Actual Status" dataDxfId="21"/>
    <tableColumn id="3" name="Indentified_Date" dataDxfId="20"/>
    <tableColumn id="5" name="Owner" dataDxfId="19"/>
    <tableColumn id="9" name="Impact" dataDxfId="18"/>
    <tableColumn id="12" name="Probability(scale)" dataDxfId="17"/>
    <tableColumn id="8" name="Risk score" dataDxfId="16">
      <calculatedColumnFormula>Table1[[#This Row],[Impact]]*Table1[[#This Row],[Probability(scale)]]</calculatedColumnFormula>
    </tableColumn>
    <tableColumn id="14" name="Priority" dataDxfId="15"/>
    <tableColumn id="7" name="Action" dataDxfId="14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B3:I16" totalsRowShown="0" headerRowDxfId="10" dataDxfId="9" tableBorderDxfId="8">
  <autoFilter ref="B3:I16"/>
  <tableColumns count="8">
    <tableColumn id="1" name="ID" dataDxfId="7">
      <calculatedColumnFormula>B3+1</calculatedColumnFormula>
    </tableColumn>
    <tableColumn id="2" name="Issue Description" dataDxfId="6"/>
    <tableColumn id="6" name="Department" dataDxfId="5"/>
    <tableColumn id="4" name="Actual Status" dataDxfId="4"/>
    <tableColumn id="5" name="Open_Date" dataDxfId="3"/>
    <tableColumn id="3" name="Close_Date" dataDxfId="2"/>
    <tableColumn id="14" name="Priority" dataDxfId="1"/>
    <tableColumn id="7" name="Commen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22"/>
  <sheetViews>
    <sheetView topLeftCell="A6" zoomScale="70" zoomScaleNormal="70" workbookViewId="0">
      <selection activeCell="F20" sqref="F20"/>
    </sheetView>
  </sheetViews>
  <sheetFormatPr defaultColWidth="9" defaultRowHeight="15.75" x14ac:dyDescent="0.25"/>
  <cols>
    <col min="1" max="1" width="9" style="24"/>
    <col min="2" max="2" width="29.7109375" style="24" bestFit="1" customWidth="1"/>
    <col min="3" max="3" width="10.85546875" style="24" customWidth="1"/>
    <col min="4" max="4" width="9" style="24"/>
    <col min="5" max="6" width="9" style="24" customWidth="1"/>
    <col min="7" max="7" width="11.28515625" style="24" bestFit="1" customWidth="1"/>
    <col min="8" max="16384" width="9" style="24"/>
  </cols>
  <sheetData>
    <row r="5" spans="2:7" x14ac:dyDescent="0.25">
      <c r="B5" s="42" t="s">
        <v>10</v>
      </c>
      <c r="C5" s="43" t="s">
        <v>3</v>
      </c>
      <c r="D5" s="43" t="s">
        <v>2</v>
      </c>
      <c r="E5" s="43" t="s">
        <v>4</v>
      </c>
      <c r="F5" s="43" t="s">
        <v>5</v>
      </c>
      <c r="G5" s="44" t="s">
        <v>6</v>
      </c>
    </row>
    <row r="6" spans="2:7" x14ac:dyDescent="0.25">
      <c r="B6" s="25" t="s">
        <v>45</v>
      </c>
      <c r="C6" s="26">
        <f>COUNTIFS('Risk List'!$E$6:$E$32,"New",'Risk List'!$K$6:$K$32,"High")</f>
        <v>0</v>
      </c>
      <c r="D6" s="26">
        <f>COUNTIFS('Risk List'!$E$6:$E$32,"New",'Risk List'!$K$6:$K$32,"Medium")</f>
        <v>0</v>
      </c>
      <c r="E6" s="26">
        <f>COUNTIFS('Risk List'!$E$6:$E$32,"New",'Risk List'!$K$6:$K$32,"Low")</f>
        <v>0</v>
      </c>
      <c r="F6" s="27">
        <f>SUM(C6:E6)</f>
        <v>0</v>
      </c>
      <c r="G6" s="28">
        <f>F6/F11</f>
        <v>0</v>
      </c>
    </row>
    <row r="7" spans="2:7" ht="14.25" customHeight="1" x14ac:dyDescent="0.25">
      <c r="B7" s="29" t="s">
        <v>46</v>
      </c>
      <c r="C7" s="26">
        <f>COUNTIFS('Risk List'!$E$6:$E$32,"Planned",'Risk List'!$K$6:$K$32,"High")</f>
        <v>2</v>
      </c>
      <c r="D7" s="26">
        <f>COUNTIFS('Risk List'!$E$6:$E$32,"Planned",'Risk List'!$K$6:$K$32,"Medium")</f>
        <v>4</v>
      </c>
      <c r="E7" s="26">
        <f>COUNTIFS('Risk List'!$E$6:$E$32,"Planned",'Risk List'!$K$6:$K$32,"Low")</f>
        <v>1</v>
      </c>
      <c r="F7" s="27">
        <f>SUM(C7:E7)</f>
        <v>7</v>
      </c>
      <c r="G7" s="28">
        <f>F7/F11</f>
        <v>0.29166666666666669</v>
      </c>
    </row>
    <row r="8" spans="2:7" x14ac:dyDescent="0.25">
      <c r="B8" s="29" t="s">
        <v>47</v>
      </c>
      <c r="C8" s="26">
        <f>COUNTIFS('Risk List'!$E$6:$E$32,"In Progress",'Risk List'!$K$6:$K$32,"High")</f>
        <v>4</v>
      </c>
      <c r="D8" s="26">
        <f>COUNTIFS('Risk List'!$E$6:$E$32,"In Progress",'Risk List'!$K$6:$K$32,"Medium")</f>
        <v>0</v>
      </c>
      <c r="E8" s="26">
        <f>COUNTIFS('Risk List'!$E$6:$E$32,"In Progress",'Risk List'!$K$6:$K$32,"Low")</f>
        <v>1</v>
      </c>
      <c r="F8" s="27">
        <f>SUM(C8:E8)</f>
        <v>5</v>
      </c>
      <c r="G8" s="28">
        <f>F8/F11</f>
        <v>0.20833333333333334</v>
      </c>
    </row>
    <row r="9" spans="2:7" x14ac:dyDescent="0.25">
      <c r="B9" s="46" t="s">
        <v>9</v>
      </c>
      <c r="C9" s="26">
        <f>COUNTIFS('Risk List'!$E$6:$E$32,"Closed",'Risk List'!$K$6:$K$32,"High")</f>
        <v>1</v>
      </c>
      <c r="D9" s="26">
        <f>COUNTIFS('Risk List'!$E$6:$E$32,"Closed",'Risk List'!$K$6:$K$32,"Medium")</f>
        <v>4</v>
      </c>
      <c r="E9" s="26">
        <f>COUNTIFS('Risk List'!$E$6:$E$32,"Closed",'Risk List'!$K$6:$K$32,"Low")</f>
        <v>0</v>
      </c>
      <c r="F9" s="27">
        <f>SUM(C9:E9)</f>
        <v>5</v>
      </c>
      <c r="G9" s="41">
        <f>F9/F11</f>
        <v>0.20833333333333334</v>
      </c>
    </row>
    <row r="10" spans="2:7" ht="16.5" thickBot="1" x14ac:dyDescent="0.3">
      <c r="B10" s="30" t="s">
        <v>48</v>
      </c>
      <c r="C10" s="31">
        <f>COUNTIFS('Risk List'!$E$6:$E$32,"Reject",'Risk List'!$K$6:$K$32,"High")</f>
        <v>2</v>
      </c>
      <c r="D10" s="31">
        <f>COUNTIFS('Risk List'!$E$6:$E$32,"Reject",'Risk List'!$K$6:$K$32,"Medium")</f>
        <v>3</v>
      </c>
      <c r="E10" s="31">
        <f>COUNTIFS('Risk List'!$E$6:$E$32,"Reject",'Risk List'!$K$6:$K$32,"Low")</f>
        <v>2</v>
      </c>
      <c r="F10" s="32">
        <f>SUM(C10:E10)</f>
        <v>7</v>
      </c>
      <c r="G10" s="33">
        <f>F10/F11</f>
        <v>0.29166666666666669</v>
      </c>
    </row>
    <row r="11" spans="2:7" ht="16.5" thickTop="1" x14ac:dyDescent="0.25">
      <c r="B11" s="34" t="s">
        <v>5</v>
      </c>
      <c r="C11" s="35">
        <f>SUM(C6:C10)</f>
        <v>9</v>
      </c>
      <c r="D11" s="35">
        <f>SUM(D6:D10)</f>
        <v>11</v>
      </c>
      <c r="E11" s="35">
        <f>SUM(E6:E10)</f>
        <v>4</v>
      </c>
      <c r="F11" s="35">
        <f>SUM(F6:F10)</f>
        <v>24</v>
      </c>
      <c r="G11" s="36">
        <f>SUM(G6:G10)</f>
        <v>1</v>
      </c>
    </row>
    <row r="12" spans="2:7" x14ac:dyDescent="0.25">
      <c r="B12" s="29" t="s">
        <v>7</v>
      </c>
      <c r="C12" s="28">
        <f>C11/F11</f>
        <v>0.375</v>
      </c>
      <c r="D12" s="28">
        <f>D11/F11</f>
        <v>0.45833333333333331</v>
      </c>
      <c r="E12" s="28">
        <f>E11/F11</f>
        <v>0.16666666666666666</v>
      </c>
      <c r="F12" s="28">
        <f>SUM(C12:E12)</f>
        <v>0.99999999999999989</v>
      </c>
      <c r="G12" s="37"/>
    </row>
    <row r="14" spans="2:7" x14ac:dyDescent="0.25">
      <c r="B14" s="73" t="s">
        <v>43</v>
      </c>
      <c r="C14" s="73"/>
      <c r="E14" s="73" t="s">
        <v>92</v>
      </c>
      <c r="F14" s="73"/>
    </row>
    <row r="15" spans="2:7" x14ac:dyDescent="0.25">
      <c r="B15" s="38" t="s">
        <v>12</v>
      </c>
      <c r="C15" s="26">
        <f>COUNTIF(Table1[Department],"Planning")</f>
        <v>1</v>
      </c>
      <c r="E15" s="38" t="s">
        <v>71</v>
      </c>
      <c r="F15" s="26">
        <f>COUNTIF(Table13[Actual Status], "Active")</f>
        <v>5</v>
      </c>
    </row>
    <row r="16" spans="2:7" x14ac:dyDescent="0.25">
      <c r="B16" s="38" t="s">
        <v>21</v>
      </c>
      <c r="C16" s="26">
        <f>COUNTIF(Table1[Department],"Management")</f>
        <v>8</v>
      </c>
      <c r="E16" s="38" t="s">
        <v>70</v>
      </c>
      <c r="F16" s="26">
        <f>COUNTIF(Table13[Actual Status],"Fixed")</f>
        <v>5</v>
      </c>
    </row>
    <row r="17" spans="2:3" x14ac:dyDescent="0.25">
      <c r="B17" s="38" t="s">
        <v>13</v>
      </c>
      <c r="C17" s="26">
        <f>COUNTIF(Table1[Department],"Requirement")</f>
        <v>10</v>
      </c>
    </row>
    <row r="18" spans="2:3" x14ac:dyDescent="0.25">
      <c r="B18" s="38" t="s">
        <v>14</v>
      </c>
      <c r="C18" s="26">
        <f>COUNTIF(Table1[Department],"Architect")</f>
        <v>2</v>
      </c>
    </row>
    <row r="19" spans="2:3" x14ac:dyDescent="0.25">
      <c r="B19" s="38" t="s">
        <v>15</v>
      </c>
      <c r="C19" s="26">
        <f>COUNTIF(Table1[Department],"Design")</f>
        <v>2</v>
      </c>
    </row>
    <row r="20" spans="2:3" x14ac:dyDescent="0.25">
      <c r="B20" s="38" t="s">
        <v>16</v>
      </c>
      <c r="C20" s="26">
        <f>COUNTIF(Table1[Department],"Code")</f>
        <v>1</v>
      </c>
    </row>
    <row r="21" spans="2:3" ht="16.5" thickBot="1" x14ac:dyDescent="0.3">
      <c r="B21" s="39" t="s">
        <v>17</v>
      </c>
      <c r="C21" s="31">
        <f>COUNTIF(Table1[Department],"Test")</f>
        <v>0</v>
      </c>
    </row>
    <row r="22" spans="2:3" ht="16.5" thickTop="1" x14ac:dyDescent="0.25">
      <c r="B22" s="40" t="s">
        <v>5</v>
      </c>
      <c r="C22" s="47">
        <f>SUM(C15:C21)</f>
        <v>24</v>
      </c>
    </row>
  </sheetData>
  <mergeCells count="2">
    <mergeCell ref="B14:C14"/>
    <mergeCell ref="E14:F1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3"/>
  <sheetViews>
    <sheetView showGridLines="0" topLeftCell="A3" zoomScaleNormal="100" workbookViewId="0">
      <selection activeCell="B29" sqref="B29"/>
    </sheetView>
  </sheetViews>
  <sheetFormatPr defaultColWidth="0" defaultRowHeight="10.5" x14ac:dyDescent="0.15"/>
  <cols>
    <col min="1" max="1" width="1.85546875" style="1" customWidth="1"/>
    <col min="2" max="2" width="11.5703125" style="1" customWidth="1"/>
    <col min="3" max="3" width="50.140625" style="1" customWidth="1"/>
    <col min="4" max="4" width="15.7109375" style="1" customWidth="1"/>
    <col min="5" max="8" width="15" style="1" customWidth="1"/>
    <col min="9" max="9" width="15.7109375" style="1" bestFit="1" customWidth="1"/>
    <col min="10" max="10" width="15" style="1" customWidth="1"/>
    <col min="11" max="11" width="13" style="1" customWidth="1"/>
    <col min="12" max="12" width="80.42578125" style="1" customWidth="1"/>
    <col min="13" max="13" width="10.42578125" style="1" customWidth="1"/>
    <col min="14" max="14" width="12.42578125" style="1" customWidth="1"/>
    <col min="15" max="15" width="12.5703125" style="1" customWidth="1"/>
    <col min="16" max="16" width="11.85546875" style="1" customWidth="1"/>
    <col min="17" max="17" width="17.5703125" style="1" customWidth="1"/>
    <col min="18" max="18" width="8.42578125" style="1" bestFit="1" customWidth="1"/>
    <col min="19" max="28" width="0" style="1" hidden="1" customWidth="1"/>
    <col min="29" max="16384" width="9.140625" style="1" hidden="1"/>
  </cols>
  <sheetData>
    <row r="1" spans="2:19" ht="12" x14ac:dyDescent="0.2">
      <c r="P1" s="9"/>
      <c r="Q1" s="12"/>
      <c r="R1" s="9"/>
    </row>
    <row r="2" spans="2:19" ht="12" x14ac:dyDescent="0.2">
      <c r="P2" s="8"/>
      <c r="Q2" s="13"/>
      <c r="R2" s="8"/>
    </row>
    <row r="3" spans="2:19" ht="12" x14ac:dyDescent="0.2">
      <c r="J3" s="5"/>
      <c r="O3" s="2"/>
      <c r="P3" s="3"/>
      <c r="Q3" s="3"/>
      <c r="R3" s="3"/>
    </row>
    <row r="4" spans="2:19" x14ac:dyDescent="0.1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R4" s="2"/>
    </row>
    <row r="5" spans="2:19" ht="12" x14ac:dyDescent="0.2">
      <c r="B5" s="45" t="s">
        <v>0</v>
      </c>
      <c r="C5" s="45" t="s">
        <v>66</v>
      </c>
      <c r="D5" s="45" t="s">
        <v>11</v>
      </c>
      <c r="E5" s="45" t="s">
        <v>8</v>
      </c>
      <c r="F5" s="45" t="s">
        <v>72</v>
      </c>
      <c r="G5" s="45" t="s">
        <v>74</v>
      </c>
      <c r="H5" s="45" t="s">
        <v>39</v>
      </c>
      <c r="I5" s="45" t="s">
        <v>75</v>
      </c>
      <c r="J5" s="45" t="s">
        <v>40</v>
      </c>
      <c r="K5" s="45" t="s">
        <v>1</v>
      </c>
      <c r="L5" s="45" t="s">
        <v>44</v>
      </c>
      <c r="M5" s="2"/>
      <c r="R5" s="4"/>
      <c r="S5" s="4"/>
    </row>
    <row r="6" spans="2:19" ht="12" x14ac:dyDescent="0.2">
      <c r="B6" s="57">
        <v>1</v>
      </c>
      <c r="C6" s="58" t="s">
        <v>19</v>
      </c>
      <c r="D6" s="58" t="s">
        <v>12</v>
      </c>
      <c r="E6" s="59" t="s">
        <v>47</v>
      </c>
      <c r="F6" s="60">
        <v>42653</v>
      </c>
      <c r="G6" s="60" t="s">
        <v>77</v>
      </c>
      <c r="H6" s="61">
        <v>5</v>
      </c>
      <c r="I6" s="61">
        <v>4</v>
      </c>
      <c r="J6" s="61">
        <f>Table1[[#This Row],[Impact]]*Table1[[#This Row],[Probability(scale)]]</f>
        <v>20</v>
      </c>
      <c r="K6" s="62" t="str">
        <f>IF(Table1[[#This Row],[Risk score]]&gt;=15,"High",IF(Table1[[#This Row],[Risk score]]&gt;=6,"Medium","Low"))</f>
        <v>High</v>
      </c>
      <c r="L6" s="59" t="s">
        <v>41</v>
      </c>
      <c r="M6" s="2"/>
      <c r="R6" s="10"/>
      <c r="S6" s="10"/>
    </row>
    <row r="7" spans="2:19" ht="12" x14ac:dyDescent="0.2">
      <c r="B7" s="57">
        <f>B6+1</f>
        <v>2</v>
      </c>
      <c r="C7" s="58" t="s">
        <v>64</v>
      </c>
      <c r="D7" s="58" t="s">
        <v>16</v>
      </c>
      <c r="E7" s="63" t="s">
        <v>47</v>
      </c>
      <c r="F7" s="60">
        <v>42653</v>
      </c>
      <c r="G7" s="64" t="s">
        <v>78</v>
      </c>
      <c r="H7" s="65">
        <v>5</v>
      </c>
      <c r="I7" s="65">
        <v>4</v>
      </c>
      <c r="J7" s="66">
        <f>Table1[[#This Row],[Impact]]*Table1[[#This Row],[Probability(scale)]]</f>
        <v>20</v>
      </c>
      <c r="K7" s="67" t="s">
        <v>3</v>
      </c>
      <c r="L7" s="57" t="s">
        <v>65</v>
      </c>
      <c r="M7" s="2"/>
      <c r="R7" s="10"/>
      <c r="S7" s="10"/>
    </row>
    <row r="8" spans="2:19" ht="12" x14ac:dyDescent="0.2">
      <c r="B8" s="57">
        <f>B7+1</f>
        <v>3</v>
      </c>
      <c r="C8" s="58" t="s">
        <v>36</v>
      </c>
      <c r="D8" s="58" t="s">
        <v>21</v>
      </c>
      <c r="E8" s="59" t="s">
        <v>9</v>
      </c>
      <c r="F8" s="60">
        <v>42653</v>
      </c>
      <c r="G8" s="60" t="s">
        <v>79</v>
      </c>
      <c r="H8" s="61">
        <v>4</v>
      </c>
      <c r="I8" s="61">
        <v>3</v>
      </c>
      <c r="J8" s="61">
        <f>Table1[[#This Row],[Impact]]*Table1[[#This Row],[Probability(scale)]]</f>
        <v>12</v>
      </c>
      <c r="K8" s="62" t="str">
        <f>IF(Table1[[#This Row],[Risk score]]&gt;=15,"High",IF(Table1[[#This Row],[Risk score]]&gt;=6,"Medium","Low"))</f>
        <v>Medium</v>
      </c>
      <c r="L8" s="59" t="s">
        <v>50</v>
      </c>
      <c r="M8" s="2"/>
      <c r="R8" s="10"/>
      <c r="S8" s="10"/>
    </row>
    <row r="9" spans="2:19" ht="12" x14ac:dyDescent="0.2">
      <c r="B9" s="57">
        <f t="shared" ref="B9:B24" si="0">B8+1</f>
        <v>4</v>
      </c>
      <c r="C9" s="58" t="s">
        <v>20</v>
      </c>
      <c r="D9" s="58" t="s">
        <v>21</v>
      </c>
      <c r="E9" s="59" t="s">
        <v>46</v>
      </c>
      <c r="F9" s="60">
        <v>42653</v>
      </c>
      <c r="G9" s="60" t="s">
        <v>78</v>
      </c>
      <c r="H9" s="61">
        <v>3</v>
      </c>
      <c r="I9" s="61">
        <v>3</v>
      </c>
      <c r="J9" s="61">
        <f>Table1[[#This Row],[Impact]]*Table1[[#This Row],[Probability(scale)]]</f>
        <v>9</v>
      </c>
      <c r="K9" s="62" t="str">
        <f>IF(Table1[[#This Row],[Risk score]]&gt;=15,"High",IF(Table1[[#This Row],[Risk score]]&gt;=6,"Medium","Low"))</f>
        <v>Medium</v>
      </c>
      <c r="L9" s="59" t="s">
        <v>49</v>
      </c>
      <c r="M9" s="2"/>
      <c r="R9" s="10"/>
      <c r="S9" s="10"/>
    </row>
    <row r="10" spans="2:19" ht="12" x14ac:dyDescent="0.2">
      <c r="B10" s="57">
        <f t="shared" si="0"/>
        <v>5</v>
      </c>
      <c r="C10" s="58" t="s">
        <v>26</v>
      </c>
      <c r="D10" s="58" t="s">
        <v>21</v>
      </c>
      <c r="E10" s="59" t="s">
        <v>48</v>
      </c>
      <c r="F10" s="60">
        <v>42653</v>
      </c>
      <c r="G10" s="60" t="s">
        <v>80</v>
      </c>
      <c r="H10" s="61">
        <v>3</v>
      </c>
      <c r="I10" s="61">
        <v>2</v>
      </c>
      <c r="J10" s="61">
        <f>Table1[[#This Row],[Impact]]*Table1[[#This Row],[Probability(scale)]]</f>
        <v>6</v>
      </c>
      <c r="K10" s="62" t="str">
        <f>IF(Table1[[#This Row],[Risk score]]&gt;=15,"High",IF(Table1[[#This Row],[Risk score]]&gt;=6,"Medium","Low"))</f>
        <v>Medium</v>
      </c>
      <c r="L10" s="59"/>
      <c r="M10" s="2"/>
      <c r="R10" s="10"/>
      <c r="S10" s="10"/>
    </row>
    <row r="11" spans="2:19" ht="12" x14ac:dyDescent="0.2">
      <c r="B11" s="57">
        <f t="shared" si="0"/>
        <v>6</v>
      </c>
      <c r="C11" s="58" t="s">
        <v>27</v>
      </c>
      <c r="D11" s="58" t="s">
        <v>21</v>
      </c>
      <c r="E11" s="59" t="s">
        <v>48</v>
      </c>
      <c r="F11" s="60">
        <v>42653</v>
      </c>
      <c r="G11" s="60" t="s">
        <v>77</v>
      </c>
      <c r="H11" s="61">
        <v>4</v>
      </c>
      <c r="I11" s="61">
        <v>4</v>
      </c>
      <c r="J11" s="61">
        <f>Table1[[#This Row],[Impact]]*Table1[[#This Row],[Probability(scale)]]</f>
        <v>16</v>
      </c>
      <c r="K11" s="62" t="str">
        <f>IF(Table1[[#This Row],[Risk score]]&gt;=15,"High",IF(Table1[[#This Row],[Risk score]]&gt;=6,"Medium","Low"))</f>
        <v>High</v>
      </c>
      <c r="L11" s="59"/>
      <c r="M11" s="2"/>
      <c r="R11" s="10"/>
      <c r="S11" s="10"/>
    </row>
    <row r="12" spans="2:19" ht="12" x14ac:dyDescent="0.2">
      <c r="B12" s="57">
        <f t="shared" si="0"/>
        <v>7</v>
      </c>
      <c r="C12" s="58" t="s">
        <v>28</v>
      </c>
      <c r="D12" s="58" t="s">
        <v>21</v>
      </c>
      <c r="E12" s="59" t="s">
        <v>9</v>
      </c>
      <c r="F12" s="60">
        <v>42653</v>
      </c>
      <c r="G12" s="60" t="s">
        <v>81</v>
      </c>
      <c r="H12" s="61">
        <v>3</v>
      </c>
      <c r="I12" s="61">
        <v>4</v>
      </c>
      <c r="J12" s="61">
        <f>Table1[[#This Row],[Impact]]*Table1[[#This Row],[Probability(scale)]]</f>
        <v>12</v>
      </c>
      <c r="K12" s="62" t="str">
        <f>IF(Table1[[#This Row],[Risk score]]&gt;=15,"High",IF(Table1[[#This Row],[Risk score]]&gt;=6,"Medium","Low"))</f>
        <v>Medium</v>
      </c>
      <c r="L12" s="59" t="s">
        <v>51</v>
      </c>
      <c r="M12" s="11"/>
      <c r="R12" s="7"/>
      <c r="S12" s="7"/>
    </row>
    <row r="13" spans="2:19" ht="12" x14ac:dyDescent="0.2">
      <c r="B13" s="57">
        <f t="shared" si="0"/>
        <v>8</v>
      </c>
      <c r="C13" s="58" t="s">
        <v>29</v>
      </c>
      <c r="D13" s="58" t="s">
        <v>21</v>
      </c>
      <c r="E13" s="59" t="s">
        <v>9</v>
      </c>
      <c r="F13" s="60">
        <v>42653</v>
      </c>
      <c r="G13" s="60" t="s">
        <v>79</v>
      </c>
      <c r="H13" s="61">
        <v>2</v>
      </c>
      <c r="I13" s="61">
        <v>4</v>
      </c>
      <c r="J13" s="61">
        <f>Table1[[#This Row],[Impact]]*Table1[[#This Row],[Probability(scale)]]</f>
        <v>8</v>
      </c>
      <c r="K13" s="62" t="str">
        <f>IF(Table1[[#This Row],[Risk score]]&gt;=15,"High",IF(Table1[[#This Row],[Risk score]]&gt;=6,"Medium","Low"))</f>
        <v>Medium</v>
      </c>
      <c r="L13" s="59" t="s">
        <v>52</v>
      </c>
      <c r="M13" s="11"/>
      <c r="R13" s="10"/>
      <c r="S13" s="10"/>
    </row>
    <row r="14" spans="2:19" ht="12" x14ac:dyDescent="0.2">
      <c r="B14" s="57">
        <f t="shared" si="0"/>
        <v>9</v>
      </c>
      <c r="C14" s="68" t="s">
        <v>18</v>
      </c>
      <c r="D14" s="58" t="s">
        <v>13</v>
      </c>
      <c r="E14" s="59" t="s">
        <v>46</v>
      </c>
      <c r="F14" s="60">
        <v>42681</v>
      </c>
      <c r="G14" s="60" t="s">
        <v>80</v>
      </c>
      <c r="H14" s="61">
        <v>5</v>
      </c>
      <c r="I14" s="61">
        <v>2</v>
      </c>
      <c r="J14" s="61">
        <f>Table1[[#This Row],[Impact]]*Table1[[#This Row],[Probability(scale)]]</f>
        <v>10</v>
      </c>
      <c r="K14" s="62" t="str">
        <f>IF(Table1[[#This Row],[Risk score]]&gt;=15,"High",IF(Table1[[#This Row],[Risk score]]&gt;=6,"Medium","Low"))</f>
        <v>Medium</v>
      </c>
      <c r="L14" s="59" t="s">
        <v>53</v>
      </c>
      <c r="M14" s="11"/>
      <c r="R14" s="10"/>
      <c r="S14" s="10"/>
    </row>
    <row r="15" spans="2:19" ht="12" x14ac:dyDescent="0.2">
      <c r="B15" s="57">
        <f t="shared" si="0"/>
        <v>10</v>
      </c>
      <c r="C15" s="69" t="s">
        <v>22</v>
      </c>
      <c r="D15" s="58" t="s">
        <v>13</v>
      </c>
      <c r="E15" s="59" t="s">
        <v>46</v>
      </c>
      <c r="F15" s="60">
        <v>42681</v>
      </c>
      <c r="G15" s="60" t="s">
        <v>80</v>
      </c>
      <c r="H15" s="61">
        <v>3</v>
      </c>
      <c r="I15" s="61">
        <v>1</v>
      </c>
      <c r="J15" s="61">
        <f>Table1[[#This Row],[Impact]]*Table1[[#This Row],[Probability(scale)]]</f>
        <v>3</v>
      </c>
      <c r="K15" s="62" t="str">
        <f>IF(Table1[[#This Row],[Risk score]]&gt;=15,"High",IF(Table1[[#This Row],[Risk score]]&gt;=6,"Medium","Low"))</f>
        <v>Low</v>
      </c>
      <c r="L15" s="59" t="s">
        <v>54</v>
      </c>
      <c r="M15" s="11"/>
      <c r="R15" s="10"/>
      <c r="S15" s="10"/>
    </row>
    <row r="16" spans="2:19" ht="12" x14ac:dyDescent="0.2">
      <c r="B16" s="57">
        <f t="shared" si="0"/>
        <v>11</v>
      </c>
      <c r="C16" s="68" t="s">
        <v>37</v>
      </c>
      <c r="D16" s="58" t="s">
        <v>13</v>
      </c>
      <c r="E16" s="59" t="s">
        <v>9</v>
      </c>
      <c r="F16" s="60">
        <v>42681</v>
      </c>
      <c r="G16" s="60" t="s">
        <v>78</v>
      </c>
      <c r="H16" s="61">
        <v>5</v>
      </c>
      <c r="I16" s="61">
        <v>3</v>
      </c>
      <c r="J16" s="61">
        <f>Table1[[#This Row],[Impact]]*Table1[[#This Row],[Probability(scale)]]</f>
        <v>15</v>
      </c>
      <c r="K16" s="62" t="str">
        <f>IF(Table1[[#This Row],[Risk score]]&gt;=15,"High",IF(Table1[[#This Row],[Risk score]]&gt;=6,"Medium","Low"))</f>
        <v>High</v>
      </c>
      <c r="L16" s="59" t="s">
        <v>55</v>
      </c>
      <c r="M16" s="11"/>
      <c r="R16" s="10"/>
      <c r="S16" s="10"/>
    </row>
    <row r="17" spans="2:19" ht="12" x14ac:dyDescent="0.2">
      <c r="B17" s="57">
        <f t="shared" si="0"/>
        <v>12</v>
      </c>
      <c r="C17" s="69" t="s">
        <v>23</v>
      </c>
      <c r="D17" s="58" t="s">
        <v>13</v>
      </c>
      <c r="E17" s="59" t="s">
        <v>46</v>
      </c>
      <c r="F17" s="60">
        <v>42681</v>
      </c>
      <c r="G17" s="60" t="s">
        <v>78</v>
      </c>
      <c r="H17" s="61">
        <v>4</v>
      </c>
      <c r="I17" s="61">
        <v>3</v>
      </c>
      <c r="J17" s="61">
        <f>Table1[[#This Row],[Impact]]*Table1[[#This Row],[Probability(scale)]]</f>
        <v>12</v>
      </c>
      <c r="K17" s="62" t="str">
        <f>IF(Table1[[#This Row],[Risk score]]&gt;=15,"High",IF(Table1[[#This Row],[Risk score]]&gt;=6,"Medium","Low"))</f>
        <v>Medium</v>
      </c>
      <c r="L17" s="59" t="s">
        <v>76</v>
      </c>
      <c r="M17" s="11"/>
      <c r="R17" s="10"/>
      <c r="S17" s="10"/>
    </row>
    <row r="18" spans="2:19" ht="12" x14ac:dyDescent="0.2">
      <c r="B18" s="57">
        <f t="shared" si="0"/>
        <v>13</v>
      </c>
      <c r="C18" s="68" t="s">
        <v>56</v>
      </c>
      <c r="D18" s="58" t="s">
        <v>13</v>
      </c>
      <c r="E18" s="59" t="s">
        <v>47</v>
      </c>
      <c r="F18" s="60">
        <v>42681</v>
      </c>
      <c r="G18" s="60" t="s">
        <v>77</v>
      </c>
      <c r="H18" s="61">
        <v>4</v>
      </c>
      <c r="I18" s="61">
        <v>4</v>
      </c>
      <c r="J18" s="61">
        <f>Table1[[#This Row],[Impact]]*Table1[[#This Row],[Probability(scale)]]</f>
        <v>16</v>
      </c>
      <c r="K18" s="62" t="str">
        <f>IF(Table1[[#This Row],[Risk score]]&gt;=15,"High",IF(Table1[[#This Row],[Risk score]]&gt;=6,"Medium","Low"))</f>
        <v>High</v>
      </c>
      <c r="L18" s="59" t="s">
        <v>57</v>
      </c>
      <c r="M18" s="11"/>
      <c r="R18" s="10"/>
      <c r="S18" s="10"/>
    </row>
    <row r="19" spans="2:19" ht="12" x14ac:dyDescent="0.2">
      <c r="B19" s="57">
        <f t="shared" si="0"/>
        <v>14</v>
      </c>
      <c r="C19" s="69" t="s">
        <v>24</v>
      </c>
      <c r="D19" s="58" t="s">
        <v>13</v>
      </c>
      <c r="E19" s="59" t="s">
        <v>48</v>
      </c>
      <c r="F19" s="60">
        <v>42681</v>
      </c>
      <c r="G19" s="60" t="s">
        <v>80</v>
      </c>
      <c r="H19" s="61">
        <v>3</v>
      </c>
      <c r="I19" s="61">
        <v>1</v>
      </c>
      <c r="J19" s="61">
        <f>Table1[[#This Row],[Impact]]*Table1[[#This Row],[Probability(scale)]]</f>
        <v>3</v>
      </c>
      <c r="K19" s="62" t="str">
        <f>IF(Table1[[#This Row],[Risk score]]&gt;=15,"High",IF(Table1[[#This Row],[Risk score]]&gt;=6,"Medium","Low"))</f>
        <v>Low</v>
      </c>
      <c r="L19" s="59"/>
      <c r="M19" s="11"/>
      <c r="R19" s="7"/>
      <c r="S19" s="7"/>
    </row>
    <row r="20" spans="2:19" ht="12" x14ac:dyDescent="0.2">
      <c r="B20" s="57">
        <f t="shared" si="0"/>
        <v>15</v>
      </c>
      <c r="C20" s="68" t="s">
        <v>25</v>
      </c>
      <c r="D20" s="58" t="s">
        <v>13</v>
      </c>
      <c r="E20" s="59" t="s">
        <v>48</v>
      </c>
      <c r="F20" s="60">
        <v>42681</v>
      </c>
      <c r="G20" s="60" t="s">
        <v>81</v>
      </c>
      <c r="H20" s="61">
        <v>5</v>
      </c>
      <c r="I20" s="61">
        <v>4</v>
      </c>
      <c r="J20" s="61">
        <f>Table1[[#This Row],[Impact]]*Table1[[#This Row],[Probability(scale)]]</f>
        <v>20</v>
      </c>
      <c r="K20" s="62" t="str">
        <f>IF(Table1[[#This Row],[Risk score]]&gt;=15,"High",IF(Table1[[#This Row],[Risk score]]&gt;=6,"Medium","Low"))</f>
        <v>High</v>
      </c>
      <c r="L20" s="59"/>
      <c r="M20" s="11"/>
      <c r="R20" s="6"/>
      <c r="S20" s="6"/>
    </row>
    <row r="21" spans="2:19" ht="12" x14ac:dyDescent="0.2">
      <c r="B21" s="57">
        <f t="shared" si="0"/>
        <v>16</v>
      </c>
      <c r="C21" s="69" t="s">
        <v>33</v>
      </c>
      <c r="D21" s="58" t="s">
        <v>13</v>
      </c>
      <c r="E21" s="59" t="s">
        <v>46</v>
      </c>
      <c r="F21" s="60">
        <v>42681</v>
      </c>
      <c r="G21" s="60" t="s">
        <v>79</v>
      </c>
      <c r="H21" s="61">
        <v>5</v>
      </c>
      <c r="I21" s="61">
        <v>5</v>
      </c>
      <c r="J21" s="61">
        <f>Table1[[#This Row],[Impact]]*Table1[[#This Row],[Probability(scale)]]</f>
        <v>25</v>
      </c>
      <c r="K21" s="62" t="str">
        <f>IF(Table1[[#This Row],[Risk score]]&gt;=15,"High",IF(Table1[[#This Row],[Risk score]]&gt;=6,"Medium","Low"))</f>
        <v>High</v>
      </c>
      <c r="L21" s="59" t="s">
        <v>58</v>
      </c>
      <c r="M21" s="11"/>
      <c r="R21" s="6"/>
      <c r="S21" s="6"/>
    </row>
    <row r="22" spans="2:19" ht="13.5" customHeight="1" x14ac:dyDescent="0.2">
      <c r="B22" s="57">
        <f t="shared" si="0"/>
        <v>17</v>
      </c>
      <c r="C22" s="68" t="s">
        <v>34</v>
      </c>
      <c r="D22" s="58" t="s">
        <v>13</v>
      </c>
      <c r="E22" s="59" t="s">
        <v>48</v>
      </c>
      <c r="F22" s="60">
        <v>42681</v>
      </c>
      <c r="G22" s="60" t="s">
        <v>79</v>
      </c>
      <c r="H22" s="61">
        <v>3</v>
      </c>
      <c r="I22" s="61">
        <v>2</v>
      </c>
      <c r="J22" s="61">
        <f>Table1[[#This Row],[Impact]]*Table1[[#This Row],[Probability(scale)]]</f>
        <v>6</v>
      </c>
      <c r="K22" s="62" t="str">
        <f>IF(Table1[[#This Row],[Risk score]]&gt;=15,"High",IF(Table1[[#This Row],[Risk score]]&gt;=6,"Medium","Low"))</f>
        <v>Medium</v>
      </c>
      <c r="L22" s="59"/>
      <c r="M22" s="11"/>
      <c r="R22" s="6"/>
      <c r="S22" s="6"/>
    </row>
    <row r="23" spans="2:19" ht="12" x14ac:dyDescent="0.2">
      <c r="B23" s="57">
        <f t="shared" si="0"/>
        <v>18</v>
      </c>
      <c r="C23" s="69" t="s">
        <v>59</v>
      </c>
      <c r="D23" s="58" t="s">
        <v>13</v>
      </c>
      <c r="E23" s="59" t="s">
        <v>46</v>
      </c>
      <c r="F23" s="60">
        <v>42681</v>
      </c>
      <c r="G23" s="60" t="s">
        <v>78</v>
      </c>
      <c r="H23" s="61">
        <v>5</v>
      </c>
      <c r="I23" s="61">
        <v>3</v>
      </c>
      <c r="J23" s="61">
        <f>Table1[[#This Row],[Impact]]*Table1[[#This Row],[Probability(scale)]]</f>
        <v>15</v>
      </c>
      <c r="K23" s="62" t="str">
        <f>IF(Table1[[#This Row],[Risk score]]&gt;=15,"High",IF(Table1[[#This Row],[Risk score]]&gt;=6,"Medium","Low"))</f>
        <v>High</v>
      </c>
      <c r="L23" s="59" t="s">
        <v>60</v>
      </c>
      <c r="M23" s="11"/>
      <c r="R23" s="4"/>
      <c r="S23" s="4"/>
    </row>
    <row r="24" spans="2:19" ht="12" x14ac:dyDescent="0.2">
      <c r="B24" s="57">
        <f t="shared" si="0"/>
        <v>19</v>
      </c>
      <c r="C24" s="58" t="s">
        <v>35</v>
      </c>
      <c r="D24" s="58" t="s">
        <v>21</v>
      </c>
      <c r="E24" s="59" t="s">
        <v>47</v>
      </c>
      <c r="F24" s="60">
        <v>42716</v>
      </c>
      <c r="G24" s="60" t="s">
        <v>79</v>
      </c>
      <c r="H24" s="61">
        <v>3</v>
      </c>
      <c r="I24" s="61">
        <v>5</v>
      </c>
      <c r="J24" s="61">
        <f>Table1[[#This Row],[Impact]]*Table1[[#This Row],[Probability(scale)]]</f>
        <v>15</v>
      </c>
      <c r="K24" s="62" t="str">
        <f>IF(Table1[[#This Row],[Risk score]]&gt;=15,"High",IF(Table1[[#This Row],[Risk score]]&gt;=6,"Medium","Low"))</f>
        <v>High</v>
      </c>
      <c r="L24" s="59" t="s">
        <v>61</v>
      </c>
      <c r="M24" s="11"/>
      <c r="R24" s="7"/>
      <c r="S24" s="7"/>
    </row>
    <row r="25" spans="2:19" ht="12" x14ac:dyDescent="0.2">
      <c r="B25" s="57">
        <f t="shared" ref="B25:B32" si="1">B24+1</f>
        <v>20</v>
      </c>
      <c r="C25" s="58" t="s">
        <v>31</v>
      </c>
      <c r="D25" s="58" t="s">
        <v>14</v>
      </c>
      <c r="E25" s="59" t="s">
        <v>47</v>
      </c>
      <c r="F25" s="60">
        <v>42716</v>
      </c>
      <c r="G25" s="60" t="s">
        <v>77</v>
      </c>
      <c r="H25" s="61">
        <v>1</v>
      </c>
      <c r="I25" s="61">
        <v>2</v>
      </c>
      <c r="J25" s="61">
        <f>Table1[[#This Row],[Impact]]*Table1[[#This Row],[Probability(scale)]]</f>
        <v>2</v>
      </c>
      <c r="K25" s="62" t="str">
        <f>IF(Table1[[#This Row],[Risk score]]&gt;=15,"High",IF(Table1[[#This Row],[Risk score]]&gt;=6,"Medium","Low"))</f>
        <v>Low</v>
      </c>
      <c r="L25" s="59" t="s">
        <v>62</v>
      </c>
      <c r="M25" s="11"/>
      <c r="R25" s="4"/>
      <c r="S25" s="4"/>
    </row>
    <row r="26" spans="2:19" ht="12" x14ac:dyDescent="0.2">
      <c r="B26" s="57">
        <f t="shared" si="1"/>
        <v>21</v>
      </c>
      <c r="C26" s="58" t="s">
        <v>30</v>
      </c>
      <c r="D26" s="58" t="s">
        <v>14</v>
      </c>
      <c r="E26" s="59" t="s">
        <v>48</v>
      </c>
      <c r="F26" s="60">
        <v>42716</v>
      </c>
      <c r="G26" s="60" t="s">
        <v>81</v>
      </c>
      <c r="H26" s="61">
        <v>4</v>
      </c>
      <c r="I26" s="61">
        <v>2</v>
      </c>
      <c r="J26" s="61">
        <f>Table1[[#This Row],[Impact]]*Table1[[#This Row],[Probability(scale)]]</f>
        <v>8</v>
      </c>
      <c r="K26" s="62" t="str">
        <f>IF(Table1[[#This Row],[Risk score]]&gt;=15,"High",IF(Table1[[#This Row],[Risk score]]&gt;=6,"Medium","Low"))</f>
        <v>Medium</v>
      </c>
      <c r="L26" s="59"/>
      <c r="M26" s="11"/>
      <c r="R26" s="4"/>
      <c r="S26" s="4"/>
    </row>
    <row r="27" spans="2:19" ht="12" x14ac:dyDescent="0.2">
      <c r="B27" s="57">
        <f t="shared" si="1"/>
        <v>22</v>
      </c>
      <c r="C27" s="58" t="s">
        <v>38</v>
      </c>
      <c r="D27" s="58" t="s">
        <v>42</v>
      </c>
      <c r="E27" s="59" t="s">
        <v>48</v>
      </c>
      <c r="F27" s="60">
        <v>42737</v>
      </c>
      <c r="G27" s="60" t="s">
        <v>80</v>
      </c>
      <c r="H27" s="61">
        <v>4</v>
      </c>
      <c r="I27" s="61">
        <v>1</v>
      </c>
      <c r="J27" s="61">
        <f>Table1[[#This Row],[Impact]]*Table1[[#This Row],[Probability(scale)]]</f>
        <v>4</v>
      </c>
      <c r="K27" s="62" t="str">
        <f>IF(Table1[[#This Row],[Risk score]]&gt;=15,"High",IF(Table1[[#This Row],[Risk score]]&gt;=6,"Medium","Low"))</f>
        <v>Low</v>
      </c>
      <c r="L27" s="59"/>
      <c r="M27" s="11"/>
      <c r="R27" s="4"/>
      <c r="S27" s="4"/>
    </row>
    <row r="28" spans="2:19" ht="12" x14ac:dyDescent="0.2">
      <c r="B28" s="57">
        <f t="shared" si="1"/>
        <v>23</v>
      </c>
      <c r="C28" s="58" t="s">
        <v>32</v>
      </c>
      <c r="D28" s="58" t="s">
        <v>42</v>
      </c>
      <c r="E28" s="59" t="s">
        <v>46</v>
      </c>
      <c r="F28" s="60">
        <v>42737</v>
      </c>
      <c r="G28" s="60" t="s">
        <v>81</v>
      </c>
      <c r="H28" s="61">
        <v>4</v>
      </c>
      <c r="I28" s="61">
        <v>2</v>
      </c>
      <c r="J28" s="61">
        <f>Table1[[#This Row],[Impact]]*Table1[[#This Row],[Probability(scale)]]</f>
        <v>8</v>
      </c>
      <c r="K28" s="62" t="str">
        <f>IF(Table1[[#This Row],[Risk score]]&gt;=15,"High",IF(Table1[[#This Row],[Risk score]]&gt;=6,"Medium","Low"))</f>
        <v>Medium</v>
      </c>
      <c r="L28" s="59" t="s">
        <v>63</v>
      </c>
      <c r="M28" s="11"/>
      <c r="R28" s="4"/>
      <c r="S28" s="4"/>
    </row>
    <row r="29" spans="2:19" ht="12" x14ac:dyDescent="0.2">
      <c r="B29" s="57">
        <f t="shared" si="1"/>
        <v>24</v>
      </c>
      <c r="C29" s="58" t="s">
        <v>93</v>
      </c>
      <c r="D29" s="58" t="s">
        <v>21</v>
      </c>
      <c r="E29" s="59" t="s">
        <v>9</v>
      </c>
      <c r="F29" s="60">
        <v>42768</v>
      </c>
      <c r="G29" s="70" t="s">
        <v>78</v>
      </c>
      <c r="H29" s="61">
        <v>4</v>
      </c>
      <c r="I29" s="61">
        <v>3</v>
      </c>
      <c r="J29" s="61">
        <v>12</v>
      </c>
      <c r="K29" s="62" t="s">
        <v>2</v>
      </c>
      <c r="L29" s="59" t="s">
        <v>61</v>
      </c>
      <c r="M29" s="11"/>
      <c r="R29" s="4"/>
      <c r="S29" s="4"/>
    </row>
    <row r="30" spans="2:19" ht="12" x14ac:dyDescent="0.2">
      <c r="B30" s="57">
        <f>B29+1</f>
        <v>25</v>
      </c>
      <c r="C30" s="58"/>
      <c r="D30" s="58"/>
      <c r="E30" s="63"/>
      <c r="F30" s="71"/>
      <c r="G30" s="72"/>
      <c r="H30" s="65"/>
      <c r="I30" s="65"/>
      <c r="J30" s="66"/>
      <c r="K30" s="67"/>
      <c r="L30" s="57"/>
      <c r="M30" s="11"/>
      <c r="R30" s="4"/>
      <c r="S30" s="4"/>
    </row>
    <row r="31" spans="2:19" ht="12" x14ac:dyDescent="0.2">
      <c r="B31" s="57">
        <f>B30+1</f>
        <v>26</v>
      </c>
      <c r="C31" s="58"/>
      <c r="D31" s="58"/>
      <c r="E31" s="59"/>
      <c r="F31" s="70"/>
      <c r="G31" s="70"/>
      <c r="H31" s="61"/>
      <c r="I31" s="61"/>
      <c r="J31" s="61"/>
      <c r="K31" s="62"/>
      <c r="L31" s="59"/>
      <c r="M31" s="11"/>
      <c r="R31" s="4"/>
      <c r="S31" s="4"/>
    </row>
    <row r="32" spans="2:19" ht="12" x14ac:dyDescent="0.2">
      <c r="B32" s="57">
        <f t="shared" si="1"/>
        <v>27</v>
      </c>
      <c r="C32" s="58"/>
      <c r="D32" s="58"/>
      <c r="E32" s="59"/>
      <c r="F32" s="70"/>
      <c r="G32" s="70"/>
      <c r="H32" s="61"/>
      <c r="I32" s="61"/>
      <c r="J32" s="61"/>
      <c r="K32" s="62"/>
      <c r="L32" s="59"/>
      <c r="N32" s="4"/>
      <c r="O32" s="4"/>
      <c r="P32" s="4"/>
      <c r="Q32" s="4"/>
      <c r="R32" s="4"/>
      <c r="S32" s="4"/>
    </row>
    <row r="33" spans="16:16" x14ac:dyDescent="0.15">
      <c r="P33" s="21"/>
    </row>
  </sheetData>
  <conditionalFormatting sqref="K6:K32">
    <cfRule type="containsText" dxfId="30" priority="49" operator="containsText" text="High">
      <formula>NOT(ISERROR(SEARCH("High",K6)))</formula>
    </cfRule>
    <cfRule type="containsText" dxfId="29" priority="50" operator="containsText" text="Medium">
      <formula>NOT(ISERROR(SEARCH("Medium",K6)))</formula>
    </cfRule>
    <cfRule type="containsText" dxfId="28" priority="51" operator="containsText" text="Low">
      <formula>NOT(ISERROR(SEARCH("Low",K6)))</formula>
    </cfRule>
    <cfRule type="iconSet" priority="52">
      <iconSet iconSet="3Arrows">
        <cfvo type="percent" val="0"/>
        <cfvo type="percent" val="33"/>
        <cfvo type="percent" val="67"/>
      </iconSet>
    </cfRule>
  </conditionalFormatting>
  <dataValidations count="2">
    <dataValidation type="list" allowBlank="1" showInputMessage="1" showErrorMessage="1" sqref="K6:K32">
      <formula1>"High, Medium, Low"</formula1>
    </dataValidation>
    <dataValidation type="list" allowBlank="1" showInputMessage="1" showErrorMessage="1" sqref="E6:E32">
      <formula1>"New,Planned, In Progress, Reject, Closed"</formula1>
    </dataValidation>
  </dataValidations>
  <printOptions horizontalCentered="1"/>
  <pageMargins left="0.2" right="0.2" top="0.5" bottom="0.5" header="0.3" footer="0.3"/>
  <pageSetup scale="77" orientation="portrait" r:id="rId1"/>
  <ignoredErrors>
    <ignoredError sqref="B6" calculatedColum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Sheet1!$A$3:$A$9</xm:f>
          </x14:formula1>
          <xm:sqref>D6:D32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6"/>
  <sheetViews>
    <sheetView tabSelected="1" workbookViewId="0">
      <selection activeCell="E19" sqref="E19"/>
    </sheetView>
  </sheetViews>
  <sheetFormatPr defaultRowHeight="15" x14ac:dyDescent="0.25"/>
  <cols>
    <col min="1" max="1" width="4.28515625" bestFit="1" customWidth="1"/>
    <col min="2" max="2" width="5.140625" bestFit="1" customWidth="1"/>
    <col min="3" max="3" width="44.5703125" customWidth="1"/>
    <col min="4" max="4" width="12.140625" bestFit="1" customWidth="1"/>
    <col min="5" max="5" width="11.42578125" bestFit="1" customWidth="1"/>
    <col min="6" max="6" width="11.42578125" customWidth="1"/>
    <col min="7" max="7" width="10.5703125" bestFit="1" customWidth="1"/>
    <col min="8" max="8" width="8.7109375" customWidth="1"/>
    <col min="9" max="9" width="69" bestFit="1" customWidth="1"/>
  </cols>
  <sheetData>
    <row r="3" spans="2:9" x14ac:dyDescent="0.25">
      <c r="B3" s="45" t="s">
        <v>0</v>
      </c>
      <c r="C3" s="45" t="s">
        <v>73</v>
      </c>
      <c r="D3" s="45" t="s">
        <v>11</v>
      </c>
      <c r="E3" s="45" t="s">
        <v>8</v>
      </c>
      <c r="F3" s="45" t="s">
        <v>69</v>
      </c>
      <c r="G3" s="45" t="s">
        <v>68</v>
      </c>
      <c r="H3" s="45" t="s">
        <v>1</v>
      </c>
      <c r="I3" s="45" t="s">
        <v>67</v>
      </c>
    </row>
    <row r="4" spans="2:9" x14ac:dyDescent="0.25">
      <c r="B4" s="14">
        <v>1</v>
      </c>
      <c r="C4" s="15" t="s">
        <v>19</v>
      </c>
      <c r="D4" s="15" t="s">
        <v>12</v>
      </c>
      <c r="E4" s="16" t="s">
        <v>71</v>
      </c>
      <c r="F4" s="22" t="s">
        <v>82</v>
      </c>
      <c r="G4" s="22"/>
      <c r="H4" s="17" t="s">
        <v>3</v>
      </c>
      <c r="I4" s="16"/>
    </row>
    <row r="5" spans="2:9" x14ac:dyDescent="0.25">
      <c r="B5" s="48">
        <f>B4+1</f>
        <v>2</v>
      </c>
      <c r="C5" s="49" t="s">
        <v>64</v>
      </c>
      <c r="D5" s="49" t="s">
        <v>16</v>
      </c>
      <c r="E5" s="50" t="s">
        <v>71</v>
      </c>
      <c r="F5" s="22" t="s">
        <v>82</v>
      </c>
      <c r="G5" s="22"/>
      <c r="H5" s="17" t="s">
        <v>3</v>
      </c>
      <c r="I5" s="56" t="s">
        <v>90</v>
      </c>
    </row>
    <row r="6" spans="2:9" x14ac:dyDescent="0.25">
      <c r="B6" s="48">
        <f t="shared" ref="B6:B16" si="0">B5+1</f>
        <v>3</v>
      </c>
      <c r="C6" s="15" t="s">
        <v>28</v>
      </c>
      <c r="D6" s="18" t="s">
        <v>21</v>
      </c>
      <c r="E6" s="16" t="s">
        <v>70</v>
      </c>
      <c r="F6" s="54" t="s">
        <v>82</v>
      </c>
      <c r="G6" s="53" t="s">
        <v>85</v>
      </c>
      <c r="H6" s="17" t="s">
        <v>2</v>
      </c>
      <c r="I6" s="16"/>
    </row>
    <row r="7" spans="2:9" x14ac:dyDescent="0.25">
      <c r="B7" s="48">
        <f t="shared" si="0"/>
        <v>4</v>
      </c>
      <c r="C7" s="18" t="s">
        <v>36</v>
      </c>
      <c r="D7" s="15" t="s">
        <v>21</v>
      </c>
      <c r="E7" s="16" t="s">
        <v>70</v>
      </c>
      <c r="F7" s="23" t="s">
        <v>84</v>
      </c>
      <c r="G7" s="22" t="s">
        <v>83</v>
      </c>
      <c r="H7" s="17" t="s">
        <v>2</v>
      </c>
      <c r="I7" s="16" t="s">
        <v>89</v>
      </c>
    </row>
    <row r="8" spans="2:9" ht="24" x14ac:dyDescent="0.25">
      <c r="B8" s="48">
        <f t="shared" si="0"/>
        <v>5</v>
      </c>
      <c r="C8" s="15" t="s">
        <v>29</v>
      </c>
      <c r="D8" s="15" t="s">
        <v>21</v>
      </c>
      <c r="E8" s="16" t="s">
        <v>70</v>
      </c>
      <c r="F8" s="22" t="s">
        <v>86</v>
      </c>
      <c r="G8" s="22">
        <v>42502</v>
      </c>
      <c r="H8" s="17" t="s">
        <v>2</v>
      </c>
      <c r="I8" s="16"/>
    </row>
    <row r="9" spans="2:9" x14ac:dyDescent="0.25">
      <c r="B9" s="48">
        <f t="shared" si="0"/>
        <v>6</v>
      </c>
      <c r="C9" s="19" t="s">
        <v>37</v>
      </c>
      <c r="D9" s="15" t="s">
        <v>21</v>
      </c>
      <c r="E9" s="16" t="s">
        <v>70</v>
      </c>
      <c r="F9" s="22">
        <v>42441</v>
      </c>
      <c r="G9" s="22">
        <v>42563</v>
      </c>
      <c r="H9" s="17" t="s">
        <v>3</v>
      </c>
      <c r="I9" s="16" t="s">
        <v>91</v>
      </c>
    </row>
    <row r="10" spans="2:9" x14ac:dyDescent="0.25">
      <c r="B10" s="48">
        <f t="shared" si="0"/>
        <v>7</v>
      </c>
      <c r="C10" s="15" t="s">
        <v>31</v>
      </c>
      <c r="D10" s="15" t="s">
        <v>13</v>
      </c>
      <c r="E10" s="16" t="s">
        <v>71</v>
      </c>
      <c r="F10" s="55">
        <v>42826</v>
      </c>
      <c r="G10" s="22"/>
      <c r="H10" s="17" t="s">
        <v>4</v>
      </c>
      <c r="I10" s="16"/>
    </row>
    <row r="11" spans="2:9" x14ac:dyDescent="0.25">
      <c r="B11" s="48">
        <f t="shared" si="0"/>
        <v>8</v>
      </c>
      <c r="C11" s="15" t="s">
        <v>35</v>
      </c>
      <c r="D11" s="15" t="s">
        <v>21</v>
      </c>
      <c r="E11" s="16" t="s">
        <v>71</v>
      </c>
      <c r="F11" s="22" t="s">
        <v>88</v>
      </c>
      <c r="G11" s="22"/>
      <c r="H11" s="17" t="s">
        <v>3</v>
      </c>
      <c r="I11" s="16"/>
    </row>
    <row r="12" spans="2:9" x14ac:dyDescent="0.25">
      <c r="B12" s="48">
        <f t="shared" si="0"/>
        <v>9</v>
      </c>
      <c r="C12" s="20" t="s">
        <v>56</v>
      </c>
      <c r="D12" s="15" t="s">
        <v>14</v>
      </c>
      <c r="E12" s="16" t="s">
        <v>71</v>
      </c>
      <c r="F12" s="22" t="s">
        <v>87</v>
      </c>
      <c r="G12" s="22"/>
      <c r="H12" s="17" t="s">
        <v>3</v>
      </c>
      <c r="I12" s="16"/>
    </row>
    <row r="13" spans="2:9" x14ac:dyDescent="0.25">
      <c r="B13" s="48">
        <f t="shared" si="0"/>
        <v>10</v>
      </c>
      <c r="C13" s="52" t="s">
        <v>94</v>
      </c>
      <c r="D13" s="15" t="s">
        <v>21</v>
      </c>
      <c r="E13" s="16" t="s">
        <v>70</v>
      </c>
      <c r="F13" s="23" t="s">
        <v>87</v>
      </c>
      <c r="G13" s="22">
        <v>42738</v>
      </c>
      <c r="H13" s="17" t="s">
        <v>2</v>
      </c>
      <c r="I13" s="16"/>
    </row>
    <row r="14" spans="2:9" x14ac:dyDescent="0.25">
      <c r="B14" s="48">
        <f t="shared" si="0"/>
        <v>11</v>
      </c>
      <c r="C14" s="52"/>
      <c r="D14" s="49"/>
      <c r="E14" s="50"/>
      <c r="F14" s="51"/>
      <c r="G14" s="51"/>
      <c r="H14" s="17"/>
      <c r="I14" s="48"/>
    </row>
    <row r="15" spans="2:9" x14ac:dyDescent="0.25">
      <c r="B15" s="48">
        <f t="shared" si="0"/>
        <v>12</v>
      </c>
      <c r="C15" s="52"/>
      <c r="D15" s="15"/>
      <c r="E15" s="16"/>
      <c r="F15" s="23"/>
      <c r="G15" s="23"/>
      <c r="H15" s="17"/>
      <c r="I15" s="16"/>
    </row>
    <row r="16" spans="2:9" x14ac:dyDescent="0.25">
      <c r="B16" s="48">
        <f t="shared" si="0"/>
        <v>13</v>
      </c>
      <c r="C16" s="15"/>
      <c r="D16" s="15"/>
      <c r="E16" s="16"/>
      <c r="F16" s="23"/>
      <c r="G16" s="23"/>
      <c r="H16" s="17"/>
      <c r="I16" s="16"/>
    </row>
  </sheetData>
  <conditionalFormatting sqref="H4:H16">
    <cfRule type="containsText" dxfId="13" priority="45" operator="containsText" text="High">
      <formula>NOT(ISERROR(SEARCH("High",H4)))</formula>
    </cfRule>
    <cfRule type="containsText" dxfId="12" priority="46" operator="containsText" text="Medium">
      <formula>NOT(ISERROR(SEARCH("Medium",H4)))</formula>
    </cfRule>
    <cfRule type="containsText" dxfId="11" priority="47" operator="containsText" text="Low">
      <formula>NOT(ISERROR(SEARCH("Low",H4)))</formula>
    </cfRule>
    <cfRule type="iconSet" priority="48">
      <iconSet iconSet="3Arrows">
        <cfvo type="percent" val="0"/>
        <cfvo type="percent" val="33"/>
        <cfvo type="percent" val="67"/>
      </iconSet>
    </cfRule>
  </conditionalFormatting>
  <dataValidations count="2">
    <dataValidation type="list" allowBlank="1" showInputMessage="1" showErrorMessage="1" sqref="H4:H16">
      <formula1>"High, Medium, Low"</formula1>
    </dataValidation>
    <dataValidation type="list" allowBlank="1" showInputMessage="1" showErrorMessage="1" sqref="E4:E16">
      <formula1>"Active,Fixed"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Sheet1!$A$3:$A$9</xm:f>
          </x14:formula1>
          <xm:sqref>D4:D16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9"/>
  <sheetViews>
    <sheetView workbookViewId="0">
      <selection activeCell="A17" sqref="A17"/>
    </sheetView>
  </sheetViews>
  <sheetFormatPr defaultRowHeight="15" x14ac:dyDescent="0.25"/>
  <cols>
    <col min="1" max="1" width="15.140625" customWidth="1"/>
    <col min="3" max="3" width="15" bestFit="1" customWidth="1"/>
  </cols>
  <sheetData>
    <row r="2" spans="1:1" x14ac:dyDescent="0.25">
      <c r="A2" t="s">
        <v>11</v>
      </c>
    </row>
    <row r="3" spans="1:1" x14ac:dyDescent="0.25">
      <c r="A3" t="s">
        <v>12</v>
      </c>
    </row>
    <row r="4" spans="1:1" x14ac:dyDescent="0.25">
      <c r="A4" t="s">
        <v>13</v>
      </c>
    </row>
    <row r="5" spans="1:1" x14ac:dyDescent="0.25">
      <c r="A5" t="s">
        <v>14</v>
      </c>
    </row>
    <row r="6" spans="1:1" x14ac:dyDescent="0.25">
      <c r="A6" t="s">
        <v>42</v>
      </c>
    </row>
    <row r="7" spans="1:1" x14ac:dyDescent="0.25">
      <c r="A7" t="s">
        <v>16</v>
      </c>
    </row>
    <row r="8" spans="1:1" x14ac:dyDescent="0.25">
      <c r="A8" t="s">
        <v>17</v>
      </c>
    </row>
    <row r="9" spans="1:1" x14ac:dyDescent="0.25">
      <c r="A9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Dash Board</vt:lpstr>
      <vt:lpstr>Risk List</vt:lpstr>
      <vt:lpstr>Issue List</vt:lpstr>
      <vt:lpstr>Sheet1</vt:lpstr>
      <vt:lpstr>'Risk List'!Print_Area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ExcelDashboardschool.com</dc:creator>
  <cp:lastModifiedBy>LAPTOP24H</cp:lastModifiedBy>
  <cp:lastPrinted>2013-06-26T19:12:29Z</cp:lastPrinted>
  <dcterms:created xsi:type="dcterms:W3CDTF">2013-06-17T18:47:54Z</dcterms:created>
  <dcterms:modified xsi:type="dcterms:W3CDTF">2017-05-26T16:27:00Z</dcterms:modified>
</cp:coreProperties>
</file>