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3"/>
    <sheet state="visible" name="clean" sheetId="2" r:id="rId4"/>
    <sheet state="visible" name="clean 0.1" sheetId="3" r:id="rId5"/>
    <sheet state="visible" name="Copy of clean 0.1" sheetId="4" r:id="rId6"/>
  </sheets>
  <definedNames/>
  <calcPr/>
</workbook>
</file>

<file path=xl/sharedStrings.xml><?xml version="1.0" encoding="utf-8"?>
<sst xmlns="http://schemas.openxmlformats.org/spreadsheetml/2006/main" count="395" uniqueCount="93">
  <si>
    <t>Concept</t>
  </si>
  <si>
    <t>improved_ccp</t>
  </si>
  <si>
    <t>Classifier</t>
  </si>
  <si>
    <t>improved_abstraction</t>
  </si>
  <si>
    <t>Dataset</t>
  </si>
  <si>
    <t>refactor_stats</t>
  </si>
  <si>
    <t>Description</t>
  </si>
  <si>
    <t>productivity_refactor_analysis</t>
  </si>
  <si>
    <t>Model file</t>
  </si>
  <si>
    <t>Date</t>
  </si>
  <si>
    <t>May 4th, 2019</t>
  </si>
  <si>
    <t>Remarks</t>
  </si>
  <si>
    <t>Distribution By Concept</t>
  </si>
  <si>
    <t>Distribution by prediction</t>
  </si>
  <si>
    <t>#Cases</t>
  </si>
  <si>
    <t>Percent</t>
  </si>
  <si>
    <t>Concept based Percent</t>
  </si>
  <si>
    <t>Point wise MI</t>
  </si>
  <si>
    <t>Weights</t>
  </si>
  <si>
    <t>Weighted MI</t>
  </si>
  <si>
    <t>Classifier based Percent</t>
  </si>
  <si>
    <t>improved_productivity</t>
  </si>
  <si>
    <t>Accuracy</t>
  </si>
  <si>
    <t>Lift over majority</t>
  </si>
  <si>
    <t>Lift over independent</t>
  </si>
  <si>
    <t>Confidence Interval LB (95%)</t>
  </si>
  <si>
    <t>LB times confidence</t>
  </si>
  <si>
    <t>Recall( TPR)</t>
  </si>
  <si>
    <t>Precision</t>
  </si>
  <si>
    <t>Precision Lift</t>
  </si>
  <si>
    <t>FPR</t>
  </si>
  <si>
    <t>Jaccard</t>
  </si>
  <si>
    <t>NPV</t>
  </si>
  <si>
    <t>Concept distribution</t>
  </si>
  <si>
    <t>Classifier distribution</t>
  </si>
  <si>
    <t>Independent distribution</t>
  </si>
  <si>
    <t>EntTerm</t>
  </si>
  <si>
    <t>Majority</t>
  </si>
  <si>
    <t>STD</t>
  </si>
  <si>
    <t>Sum</t>
  </si>
  <si>
    <t>Read CSV</t>
  </si>
  <si>
    <t>Entropy</t>
  </si>
  <si>
    <t>MI</t>
  </si>
  <si>
    <t>Independent precision</t>
  </si>
  <si>
    <t>MI per Concept Entropy</t>
  </si>
  <si>
    <t>MI per prediction entropy</t>
  </si>
  <si>
    <t># productivity/ccp cm on scope</t>
  </si>
  <si>
    <t>Select</t>
  </si>
  <si>
    <t>Bug_ratio_after_3_months &lt; bug_ratio_before_3_months as improved_ccp</t>
  </si>
  <si>
    <t>,commits_after_3_months &gt; commits_before_3_months  as improved_productivity</t>
  </si>
  <si>
    <t>, count(*) as cases</t>
  </si>
  <si>
    <t>from</t>
  </si>
  <si>
    <t>[citric-trees-187317:repo_attributes.refactor_stats_2018]  as s</t>
  </si>
  <si>
    <t>join</t>
  </si>
  <si>
    <t>[citric-trees-187317:repo_attributes.refactor_stats_2018_commit_size]  as cs</t>
  </si>
  <si>
    <t>#join rule</t>
  </si>
  <si>
    <t>on</t>
  </si>
  <si>
    <t>s.refactor_repo_name  = cs.refactor_repo_name</t>
  </si>
  <si>
    <t>and</t>
  </si>
  <si>
    <t># abstraction/ccp cm on clean</t>
  </si>
  <si>
    <t>s.refactor_commit = cs.refactor_commit</t>
  </si>
  <si>
    <t>Where</t>
  </si>
  <si>
    <t>(not refactor_file_test)</t>
  </si>
  <si>
    <t>,abstraction_after_3_months &lt; abstraction_before_3_months  as improved_abstraction</t>
  </si>
  <si>
    <t>and major_source_extension</t>
  </si>
  <si>
    <t>and (commits_before_3_months &gt; 0)</t>
  </si>
  <si>
    <t>and (commits_after_3_months &gt; 0)</t>
  </si>
  <si>
    <t>[citric-trees-187317:repo_attributes.refactor_abstraction_stats]  as s</t>
  </si>
  <si>
    <t>and (cs.non_test_files &gt; 6)</t>
  </si>
  <si>
    <t>Group by</t>
  </si>
  <si>
    <t>Improved_ccp</t>
  </si>
  <si>
    <t>, improved_productivity</t>
  </si>
  <si>
    <t>s.repo_name  = cs.refactor_repo_name</t>
  </si>
  <si>
    <t>Order by</t>
  </si>
  <si>
    <t>s.commit = cs.refactor_commit</t>
  </si>
  <si>
    <t>(commits_before_3_months &gt; 9)</t>
  </si>
  <si>
    <t>and (commits_after_3_months &gt; 9)</t>
  </si>
  <si>
    <t>#and (refactor_before_3_months =0)</t>
  </si>
  <si>
    <t>Bug_ratio_after_3_months &lt; bug_ratio_before_3_months -0.1 as improved_ccp</t>
  </si>
  <si>
    <t>ow</t>
  </si>
  <si>
    <t>#and (refactor_after_3_months =0)</t>
  </si>
  <si>
    <t>,abstraction_after_3_months &lt; abstraction_before_3_months - 0.1  as improved_abstraction</t>
  </si>
  <si>
    <t>and (cs.non_test_files =1)</t>
  </si>
  <si>
    <t>avg_productivity_diff</t>
  </si>
  <si>
    <t>cases</t>
  </si>
  <si>
    <t>, improved_abstraction</t>
  </si>
  <si>
    <t># productivity/ccp diff  on scope</t>
  </si>
  <si>
    <t>, avg(commits_after_3_months &gt; commits_before_3_months)  as avg_productivity_diff</t>
  </si>
  <si>
    <t># Coupling/ccp cm on scope</t>
  </si>
  <si>
    <t>Bug_ratio_after_3_months &lt; bug_ratio_before_3_months  as improved_ccp</t>
  </si>
  <si>
    <t>, cap_avg_non_test_file_per_commit_after_3_months &lt; cap_avg_non_test_file_per_commit_before_3_months - 2 as improved_coupling</t>
  </si>
  <si>
    <t>[citric-trees-187317:repo_attributes.refactor_stats_with_cap]  as s</t>
  </si>
  <si>
    <t>, improved_coupling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</si>
</sst>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_(* #,##0_);_(* \(#,##0\);_(* &quot;-&quot;??_);_(@_)"/>
  </numFmts>
  <fonts count="7">
    <font>
      <sz val="10.0"/>
      <color rgb="FF000000"/>
      <name val="Arial"/>
    </font>
    <font>
      <sz val="11.0"/>
      <color rgb="FF000000"/>
      <name val="Arial"/>
    </font>
    <font>
      <name val="Arial"/>
    </font>
    <font>
      <color rgb="FF000000"/>
      <name val="Arial"/>
    </font>
    <font>
      <color rgb="FF000000"/>
      <name val="Roboto"/>
    </font>
    <font>
      <sz val="11.0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9">
    <border/>
    <border>
      <right/>
    </border>
    <border>
      <bottom/>
    </border>
    <border>
      <left/>
      <top/>
    </border>
    <border>
      <left/>
    </border>
    <border>
      <lef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3" fillId="2" fontId="4" numFmtId="0" xfId="0" applyAlignment="1" applyBorder="1" applyFill="1" applyFont="1">
      <alignment horizontal="right" vertical="bottom"/>
    </xf>
    <xf borderId="0" fillId="0" fontId="2" numFmtId="164" xfId="0" applyAlignment="1" applyFont="1" applyNumberFormat="1">
      <alignment horizontal="center" vertical="bottom"/>
    </xf>
    <xf borderId="0" fillId="0" fontId="5" numFmtId="165" xfId="0" applyAlignment="1" applyFont="1" applyNumberFormat="1">
      <alignment horizontal="right" vertical="bottom"/>
    </xf>
    <xf borderId="4" fillId="2" fontId="3" numFmtId="0" xfId="0" applyAlignment="1" applyBorder="1" applyFont="1">
      <alignment vertical="bottom"/>
    </xf>
    <xf borderId="5" fillId="2" fontId="4" numFmtId="0" xfId="0" applyAlignment="1" applyBorder="1" applyFont="1">
      <alignment horizontal="right" vertical="bottom"/>
    </xf>
    <xf borderId="3" fillId="2" fontId="4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4" fillId="2" fontId="3" numFmtId="0" xfId="0" applyAlignment="1" applyBorder="1" applyFont="1">
      <alignment readingOrder="0" vertical="bottom"/>
    </xf>
    <xf borderId="5" fillId="2" fontId="4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readingOrder="0" vertical="bottom"/>
    </xf>
    <xf borderId="0" fillId="0" fontId="2" numFmtId="9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1" numFmtId="9" xfId="0" applyAlignment="1" applyFont="1" applyNumberFormat="1">
      <alignment horizontal="center" vertical="bottom"/>
    </xf>
    <xf borderId="0" fillId="0" fontId="2" numFmtId="9" xfId="0" applyAlignment="1" applyFont="1" applyNumberFormat="1">
      <alignment vertical="bottom"/>
    </xf>
    <xf borderId="0" fillId="0" fontId="1" numFmtId="10" xfId="0" applyAlignment="1" applyFont="1" applyNumberFormat="1">
      <alignment horizontal="center" vertical="bottom"/>
    </xf>
    <xf borderId="7" fillId="3" fontId="6" numFmtId="0" xfId="0" applyAlignment="1" applyBorder="1" applyFill="1" applyFont="1">
      <alignment horizontal="center" readingOrder="0" shrinkToFit="0" wrapText="0"/>
    </xf>
    <xf borderId="7" fillId="3" fontId="6" numFmtId="0" xfId="0" applyAlignment="1" applyBorder="1" applyFont="1">
      <alignment horizontal="center" shrinkToFit="0" wrapText="0"/>
    </xf>
    <xf borderId="7" fillId="3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readingOrder="0" shrinkToFit="0" wrapText="0"/>
    </xf>
    <xf borderId="8" fillId="0" fontId="3" numFmtId="0" xfId="0" applyAlignment="1" applyBorder="1" applyFont="1">
      <alignment horizontal="right" readingOrder="0" shrinkToFit="0" wrapText="0"/>
    </xf>
    <xf borderId="8" fillId="0" fontId="3" numFmtId="0" xfId="0" applyAlignment="1" applyBorder="1" applyFont="1">
      <alignment shrinkToFit="0" wrapText="0"/>
    </xf>
    <xf borderId="0" fillId="2" fontId="4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2" t="s">
        <v>3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9</v>
      </c>
      <c r="B6" s="7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12</v>
      </c>
      <c r="B9" s="3"/>
      <c r="C9" s="3"/>
      <c r="D9" s="3"/>
      <c r="E9" s="3"/>
      <c r="F9" s="3"/>
      <c r="G9" s="3"/>
      <c r="H9" s="3"/>
      <c r="I9" s="3"/>
      <c r="J9" s="9" t="s">
        <v>13</v>
      </c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0</v>
      </c>
      <c r="B10" s="3" t="s">
        <v>2</v>
      </c>
      <c r="C10" s="10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11" t="s">
        <v>19</v>
      </c>
      <c r="I10" s="3"/>
      <c r="J10" s="3" t="s">
        <v>2</v>
      </c>
      <c r="K10" s="3" t="s">
        <v>0</v>
      </c>
      <c r="L10" s="3" t="s">
        <v>14</v>
      </c>
      <c r="M10" s="3" t="s">
        <v>15</v>
      </c>
      <c r="N10" s="9" t="s">
        <v>20</v>
      </c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>
        <v>0.0</v>
      </c>
      <c r="B11" s="13">
        <v>0.0</v>
      </c>
      <c r="C11" s="14">
        <v>105554.0</v>
      </c>
      <c r="D11" s="15">
        <f t="shared" ref="D11:D14" si="1">C11/$C$15</f>
        <v>0.3239015229</v>
      </c>
      <c r="E11" s="15">
        <f t="shared" ref="E11:E12" si="2">C11/($C$11+$C$12)</f>
        <v>0.5284278927</v>
      </c>
      <c r="F11" s="12">
        <f t="shared" ref="F11:F14" si="3">IF(ISERR(D11*LOG(D11/O35,2)),0,D11*LOG(D11/O35,2))</f>
        <v>-0.0389732896</v>
      </c>
      <c r="G11" s="12">
        <v>1.0</v>
      </c>
      <c r="H11" s="12">
        <f t="shared" ref="H11:H14" si="4">G11*F11</f>
        <v>-0.0389732896</v>
      </c>
      <c r="I11" s="3"/>
      <c r="J11" s="12">
        <v>0.0</v>
      </c>
      <c r="K11" s="12">
        <v>0.0</v>
      </c>
      <c r="L11" s="16">
        <f>C11</f>
        <v>105554</v>
      </c>
      <c r="M11" s="15">
        <f t="shared" ref="M11:M14" si="5">L11/$L$15</f>
        <v>0.3239015229</v>
      </c>
      <c r="N11" s="15">
        <f t="shared" ref="N11:N12" si="6">L11/($L$12+$L$11)</f>
        <v>0.5639050346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>
        <v>0.0</v>
      </c>
      <c r="B12" s="13">
        <v>1.0</v>
      </c>
      <c r="C12" s="17">
        <v>94197.0</v>
      </c>
      <c r="D12" s="15">
        <f t="shared" si="1"/>
        <v>0.2890515921</v>
      </c>
      <c r="E12" s="15">
        <f t="shared" si="2"/>
        <v>0.4715721073</v>
      </c>
      <c r="F12" s="12">
        <f t="shared" si="3"/>
        <v>0.04276431627</v>
      </c>
      <c r="G12" s="12">
        <v>1.0</v>
      </c>
      <c r="H12" s="12">
        <f t="shared" si="4"/>
        <v>0.04276431627</v>
      </c>
      <c r="I12" s="3"/>
      <c r="J12" s="12">
        <v>0.0</v>
      </c>
      <c r="K12" s="12">
        <v>1.0</v>
      </c>
      <c r="L12" s="16">
        <f>C13</f>
        <v>81630</v>
      </c>
      <c r="M12" s="15">
        <f t="shared" si="5"/>
        <v>0.2504886723</v>
      </c>
      <c r="N12" s="15">
        <f t="shared" si="6"/>
        <v>0.4360949654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>
        <v>1.0</v>
      </c>
      <c r="B13" s="13">
        <v>0.0</v>
      </c>
      <c r="C13" s="18">
        <v>81630.0</v>
      </c>
      <c r="D13" s="15">
        <f t="shared" si="1"/>
        <v>0.2504886723</v>
      </c>
      <c r="E13" s="15">
        <f t="shared" ref="E13:E14" si="7">C13/($C$13+$C$14)</f>
        <v>0.6471791457</v>
      </c>
      <c r="F13" s="12">
        <f t="shared" si="3"/>
        <v>0.04311761639</v>
      </c>
      <c r="G13" s="12">
        <v>1.0</v>
      </c>
      <c r="H13" s="12">
        <f t="shared" si="4"/>
        <v>0.04311761639</v>
      </c>
      <c r="I13" s="3"/>
      <c r="J13" s="12">
        <v>1.0</v>
      </c>
      <c r="K13" s="12">
        <v>0.0</v>
      </c>
      <c r="L13" s="16">
        <f>C12</f>
        <v>94197</v>
      </c>
      <c r="M13" s="15">
        <f t="shared" si="5"/>
        <v>0.2890515921</v>
      </c>
      <c r="N13" s="15">
        <f t="shared" ref="N13:N14" si="8">L13/($L$14+$L$13)</f>
        <v>0.6791469297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">
        <v>1.0</v>
      </c>
      <c r="B14" s="13">
        <v>1.0</v>
      </c>
      <c r="C14" s="20">
        <v>44502.0</v>
      </c>
      <c r="D14" s="15">
        <f t="shared" si="1"/>
        <v>0.1365582126</v>
      </c>
      <c r="E14" s="15">
        <f t="shared" si="7"/>
        <v>0.3528208543</v>
      </c>
      <c r="F14" s="12">
        <f t="shared" si="3"/>
        <v>-0.03695204452</v>
      </c>
      <c r="G14" s="12">
        <v>1.0</v>
      </c>
      <c r="H14" s="12">
        <f t="shared" si="4"/>
        <v>-0.03695204452</v>
      </c>
      <c r="I14" s="3"/>
      <c r="J14" s="12">
        <v>1.0</v>
      </c>
      <c r="K14" s="12">
        <v>1.0</v>
      </c>
      <c r="L14" s="16">
        <f>C14</f>
        <v>44502</v>
      </c>
      <c r="M14" s="15">
        <f t="shared" si="5"/>
        <v>0.1365582126</v>
      </c>
      <c r="N14" s="15">
        <f t="shared" si="8"/>
        <v>0.3208530703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21">
        <f>SUM(C11:C14)</f>
        <v>325883</v>
      </c>
      <c r="D15" s="3"/>
      <c r="E15" s="3"/>
      <c r="F15" s="3"/>
      <c r="G15" s="3" t="s">
        <v>19</v>
      </c>
      <c r="H15" s="12">
        <f>SUM(H11:H14)</f>
        <v>0.009956598546</v>
      </c>
      <c r="I15" s="3"/>
      <c r="J15" s="3"/>
      <c r="K15" s="3"/>
      <c r="L15" s="21">
        <f>SUM(L11:L14)</f>
        <v>325883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22</v>
      </c>
      <c r="B17" s="3"/>
      <c r="C17" s="15">
        <f>(C11+C14)/C15</f>
        <v>0.4604597355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23</v>
      </c>
      <c r="B18" s="3"/>
      <c r="C18" s="15">
        <f>(C17/C36)-1</f>
        <v>-0.248784737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24</v>
      </c>
      <c r="B19" s="3"/>
      <c r="C19" s="15">
        <f>(C17/(C36*C36))-1</f>
        <v>0.225567249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25</v>
      </c>
      <c r="B20" s="3"/>
      <c r="C20" s="15">
        <f>C17-(1.96*C37/SQRT(C15))</f>
        <v>0.4596451887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26</v>
      </c>
      <c r="B21" s="3"/>
      <c r="C21" s="15">
        <f>C20*0.95</f>
        <v>0.4366629293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27</v>
      </c>
      <c r="B24" s="3"/>
      <c r="C24" s="15">
        <f>C14/(C14+C13)</f>
        <v>0.3528208543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28</v>
      </c>
      <c r="B25" s="3"/>
      <c r="C25" s="15">
        <f>C14/(C14+C12)</f>
        <v>0.3208530703</v>
      </c>
      <c r="D25" s="3" t="s">
        <v>29</v>
      </c>
      <c r="E25" s="25">
        <f>(C25/C35)-1</f>
        <v>-0.1710227292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30</v>
      </c>
      <c r="B26" s="3"/>
      <c r="C26" s="15">
        <f>C12/(C12+C11)</f>
        <v>0.4715721073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31</v>
      </c>
      <c r="B27" s="3"/>
      <c r="C27" s="15">
        <f>C14/(C14+C13+C12)</f>
        <v>0.2019797666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32</v>
      </c>
      <c r="B28" s="3"/>
      <c r="C28" s="26">
        <f>C11/(C11+C12)</f>
        <v>0.5284278927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 t="s">
        <v>33</v>
      </c>
      <c r="B30" s="3"/>
      <c r="C30" s="3"/>
      <c r="D30" s="3"/>
      <c r="E30" s="3"/>
      <c r="F30" s="3"/>
      <c r="G30" s="8" t="s">
        <v>34</v>
      </c>
      <c r="H30" s="3"/>
      <c r="I30" s="3"/>
      <c r="J30" s="3"/>
      <c r="K30" s="3"/>
      <c r="L30" s="9" t="s">
        <v>35</v>
      </c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0</v>
      </c>
      <c r="B33" s="3" t="s">
        <v>14</v>
      </c>
      <c r="C33" s="3" t="s">
        <v>15</v>
      </c>
      <c r="D33" s="3" t="s">
        <v>36</v>
      </c>
      <c r="E33" s="3"/>
      <c r="F33" s="3"/>
      <c r="G33" s="3" t="s">
        <v>2</v>
      </c>
      <c r="H33" s="3" t="s">
        <v>14</v>
      </c>
      <c r="I33" s="3" t="s">
        <v>15</v>
      </c>
      <c r="J33" s="3" t="s">
        <v>36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>
        <v>0.0</v>
      </c>
      <c r="B34" s="21">
        <f>C11+C12</f>
        <v>199751</v>
      </c>
      <c r="C34" s="15">
        <f t="shared" ref="C34:C35" si="9">B34/$C$15</f>
        <v>0.6129531151</v>
      </c>
      <c r="D34" s="27">
        <f t="shared" ref="D34:D35" si="10">-C34*LOG(C34,2)</f>
        <v>0.4328376812</v>
      </c>
      <c r="E34" s="3"/>
      <c r="F34" s="3"/>
      <c r="G34" s="12">
        <v>0.0</v>
      </c>
      <c r="H34" s="21">
        <f t="shared" ref="H34:H35" si="11">C11+C13</f>
        <v>187184</v>
      </c>
      <c r="I34" s="15">
        <f t="shared" ref="I34:I35" si="12">H34/$C$15</f>
        <v>0.5743901953</v>
      </c>
      <c r="J34" s="27">
        <f t="shared" ref="J34:J35" si="13">-I34*LOG(I34,2)</f>
        <v>0.459452978</v>
      </c>
      <c r="K34" s="3"/>
      <c r="L34" s="3" t="s">
        <v>0</v>
      </c>
      <c r="M34" s="3" t="s">
        <v>2</v>
      </c>
      <c r="N34" s="3" t="s">
        <v>14</v>
      </c>
      <c r="O34" s="3" t="s">
        <v>15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>
        <v>1.0</v>
      </c>
      <c r="B35" s="21">
        <f>C15-B34</f>
        <v>126132</v>
      </c>
      <c r="C35" s="15">
        <f t="shared" si="9"/>
        <v>0.3870468849</v>
      </c>
      <c r="D35" s="27">
        <f t="shared" si="10"/>
        <v>0.5300296511</v>
      </c>
      <c r="E35" s="3"/>
      <c r="F35" s="3"/>
      <c r="G35" s="12">
        <v>1.0</v>
      </c>
      <c r="H35" s="21">
        <f t="shared" si="11"/>
        <v>138699</v>
      </c>
      <c r="I35" s="15">
        <f t="shared" si="12"/>
        <v>0.4256098047</v>
      </c>
      <c r="J35" s="27">
        <f t="shared" si="13"/>
        <v>0.5245201224</v>
      </c>
      <c r="K35" s="3"/>
      <c r="L35" s="12">
        <v>0.0</v>
      </c>
      <c r="M35" s="12">
        <v>0.0</v>
      </c>
      <c r="N35" s="28">
        <f>C34*I34*$C$15</f>
        <v>114735.0159</v>
      </c>
      <c r="O35" s="15">
        <f t="shared" ref="O35:O38" si="14">N35/$C$15</f>
        <v>0.3520742594</v>
      </c>
      <c r="P35" s="15">
        <f t="shared" ref="P35:P38" si="15">O35*G11</f>
        <v>0.3520742594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37</v>
      </c>
      <c r="B36" s="29"/>
      <c r="C36" s="15">
        <f>MAX(C34,C35)</f>
        <v>0.6129531151</v>
      </c>
      <c r="D36" s="3"/>
      <c r="E36" s="3"/>
      <c r="F36" s="3"/>
      <c r="G36" s="3" t="s">
        <v>37</v>
      </c>
      <c r="H36" s="29"/>
      <c r="I36" s="15">
        <f>MAX(I34,I35)</f>
        <v>0.5743901953</v>
      </c>
      <c r="J36" s="3"/>
      <c r="K36" s="3"/>
      <c r="L36" s="12">
        <v>0.0</v>
      </c>
      <c r="M36" s="12">
        <v>1.0</v>
      </c>
      <c r="N36" s="28">
        <f>C34*I35*$C$15</f>
        <v>85015.98411</v>
      </c>
      <c r="O36" s="15">
        <f t="shared" si="14"/>
        <v>0.2608788556</v>
      </c>
      <c r="P36" s="15">
        <f t="shared" si="15"/>
        <v>0.2608788556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38</v>
      </c>
      <c r="B37" s="29"/>
      <c r="C37" s="30">
        <f>C36*(1-C36)</f>
        <v>0.2372415938</v>
      </c>
      <c r="D37" s="3"/>
      <c r="E37" s="3"/>
      <c r="F37" s="3"/>
      <c r="G37" s="3" t="s">
        <v>38</v>
      </c>
      <c r="H37" s="29"/>
      <c r="I37" s="30">
        <f>I36*(1-I36)</f>
        <v>0.2444660989</v>
      </c>
      <c r="J37" s="3"/>
      <c r="K37" s="3"/>
      <c r="L37" s="12">
        <v>1.0</v>
      </c>
      <c r="M37" s="12">
        <v>0.0</v>
      </c>
      <c r="N37" s="28">
        <f>C35*I34*$C$15</f>
        <v>72448.98411</v>
      </c>
      <c r="O37" s="15">
        <f t="shared" si="14"/>
        <v>0.2223159358</v>
      </c>
      <c r="P37" s="15">
        <f t="shared" si="15"/>
        <v>0.2223159358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39</v>
      </c>
      <c r="B38" s="21">
        <f>SUM(B34:B35)</f>
        <v>325883</v>
      </c>
      <c r="C38" s="3"/>
      <c r="D38" s="3"/>
      <c r="E38" s="3"/>
      <c r="F38" s="3"/>
      <c r="G38" s="3" t="s">
        <v>40</v>
      </c>
      <c r="H38" s="21">
        <f>SUM(H34:H35)</f>
        <v>325883</v>
      </c>
      <c r="I38" s="3"/>
      <c r="J38" s="3"/>
      <c r="K38" s="3"/>
      <c r="L38" s="12">
        <v>1.0</v>
      </c>
      <c r="M38" s="12">
        <v>1.0</v>
      </c>
      <c r="N38" s="28">
        <f>C35*I35*$C$15</f>
        <v>53683.01589</v>
      </c>
      <c r="O38" s="15">
        <f t="shared" si="14"/>
        <v>0.1647309491</v>
      </c>
      <c r="P38" s="15">
        <f t="shared" si="15"/>
        <v>0.1647309491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41</v>
      </c>
      <c r="B39" s="27">
        <f>SUM(D34:D35)</f>
        <v>0.9628673324</v>
      </c>
      <c r="C39" s="3"/>
      <c r="D39" s="3"/>
      <c r="E39" s="3"/>
      <c r="F39" s="3"/>
      <c r="G39" s="3" t="s">
        <v>41</v>
      </c>
      <c r="H39" s="27">
        <f>SUM(J34:J35)</f>
        <v>0.9839731004</v>
      </c>
      <c r="I39" s="3"/>
      <c r="J39" s="3"/>
      <c r="K39" s="3"/>
      <c r="L39" s="3"/>
      <c r="M39" s="3"/>
      <c r="N39" s="28">
        <f>SUM(N35:N38)</f>
        <v>325883</v>
      </c>
      <c r="O39" s="3"/>
      <c r="P39" s="31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42</v>
      </c>
      <c r="B41" s="12">
        <f>SUM(F11:F14)</f>
        <v>0.009956598546</v>
      </c>
      <c r="C41" s="3"/>
      <c r="D41" s="3"/>
      <c r="E41" s="3"/>
      <c r="F41" s="3"/>
      <c r="G41" s="3"/>
      <c r="H41" s="3"/>
      <c r="I41" s="3"/>
      <c r="J41" s="3"/>
      <c r="K41" s="3"/>
      <c r="L41" s="9" t="s">
        <v>43</v>
      </c>
      <c r="M41" s="3"/>
      <c r="N41" s="15">
        <f>N38/(N38+N36)</f>
        <v>0.3870468849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44</v>
      </c>
      <c r="B42" s="32">
        <f>B41/B39</f>
        <v>0.01034057155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45</v>
      </c>
      <c r="B43" s="32">
        <f>B41/H39</f>
        <v>0.01011877107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46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49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50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51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52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53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 t="s">
        <v>54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55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 t="s">
        <v>56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57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58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 t="s">
        <v>60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 t="s">
        <v>61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 t="s">
        <v>62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 t="s">
        <v>64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 t="s">
        <v>65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66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 t="s">
        <v>68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 t="s">
        <v>69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 t="s">
        <v>70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71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73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 t="s">
        <v>70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 t="s">
        <v>71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3" t="s">
        <v>79</v>
      </c>
      <c r="B75" s="33" t="s">
        <v>1</v>
      </c>
      <c r="C75" s="33" t="s">
        <v>83</v>
      </c>
      <c r="D75" s="33" t="s">
        <v>84</v>
      </c>
      <c r="E75" s="34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5">
        <v>1.0</v>
      </c>
      <c r="B76" s="36" t="b">
        <v>0</v>
      </c>
      <c r="C76" s="37">
        <v>0.471572107273555</v>
      </c>
      <c r="D76" s="37">
        <v>199751.0</v>
      </c>
      <c r="E76" s="38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5">
        <v>2.0</v>
      </c>
      <c r="B77" s="36" t="b">
        <v>1</v>
      </c>
      <c r="C77" s="37">
        <v>0.352820854343069</v>
      </c>
      <c r="D77" s="37">
        <v>126132.0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 t="s">
        <v>86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 t="s">
        <v>47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 t="s">
        <v>48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 t="s">
        <v>87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 t="s">
        <v>50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 t="s">
        <v>51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 t="s">
        <v>52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 t="s">
        <v>53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 t="s">
        <v>54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 t="s">
        <v>55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 t="s">
        <v>56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 t="s">
        <v>57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 t="s">
        <v>58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 t="s">
        <v>60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 t="s">
        <v>61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 t="s">
        <v>62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 t="s">
        <v>64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 t="s">
        <v>65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 t="s">
        <v>66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 t="s">
        <v>68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 t="s">
        <v>69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 t="s">
        <v>70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 t="s">
        <v>73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 t="s">
        <v>70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2" t="s">
        <v>21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9</v>
      </c>
      <c r="B6" s="7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12</v>
      </c>
      <c r="B9" s="3"/>
      <c r="C9" s="3"/>
      <c r="D9" s="3"/>
      <c r="E9" s="3"/>
      <c r="F9" s="3"/>
      <c r="G9" s="3"/>
      <c r="H9" s="3"/>
      <c r="I9" s="3"/>
      <c r="J9" s="9" t="s">
        <v>13</v>
      </c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0</v>
      </c>
      <c r="B10" s="3" t="s">
        <v>2</v>
      </c>
      <c r="C10" s="10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11" t="s">
        <v>19</v>
      </c>
      <c r="I10" s="3"/>
      <c r="J10" s="3" t="s">
        <v>2</v>
      </c>
      <c r="K10" s="3" t="s">
        <v>0</v>
      </c>
      <c r="L10" s="3" t="s">
        <v>14</v>
      </c>
      <c r="M10" s="3" t="s">
        <v>15</v>
      </c>
      <c r="N10" s="9" t="s">
        <v>20</v>
      </c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>
        <v>0.0</v>
      </c>
      <c r="B11" s="13">
        <v>0.0</v>
      </c>
      <c r="C11" s="19">
        <v>1202.0</v>
      </c>
      <c r="D11" s="15">
        <f t="shared" ref="D11:D14" si="1">C11/$C$15</f>
        <v>0.41150291</v>
      </c>
      <c r="E11" s="15">
        <f t="shared" ref="E11:E12" si="2">C11/($C$11+$C$12)</f>
        <v>0.7378759975</v>
      </c>
      <c r="F11" s="12">
        <f t="shared" ref="F11:F14" si="3">IF(ISERR(D11*LOG(D11/O35,2)),0,D11*LOG(D11/O35,2))</f>
        <v>-0.02366840056</v>
      </c>
      <c r="G11" s="12">
        <v>1.0</v>
      </c>
      <c r="H11" s="12">
        <f t="shared" ref="H11:H14" si="4">G11*F11</f>
        <v>-0.02366840056</v>
      </c>
      <c r="I11" s="3"/>
      <c r="J11" s="12">
        <v>0.0</v>
      </c>
      <c r="K11" s="12">
        <v>0.0</v>
      </c>
      <c r="L11" s="16">
        <f>C11</f>
        <v>1202</v>
      </c>
      <c r="M11" s="15">
        <f t="shared" ref="M11:M14" si="5">L11/$L$15</f>
        <v>0.41150291</v>
      </c>
      <c r="N11" s="15">
        <f t="shared" ref="N11:N12" si="6">L11/($L$12+$L$11)</f>
        <v>0.5358894338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>
        <v>0.0</v>
      </c>
      <c r="B12" s="13">
        <v>1.0</v>
      </c>
      <c r="C12" s="22">
        <v>427.0</v>
      </c>
      <c r="D12" s="15">
        <f t="shared" si="1"/>
        <v>0.1461828141</v>
      </c>
      <c r="E12" s="15">
        <f t="shared" si="2"/>
        <v>0.2621240025</v>
      </c>
      <c r="F12" s="12">
        <f t="shared" si="3"/>
        <v>0.02564434686</v>
      </c>
      <c r="G12" s="12">
        <v>1.0</v>
      </c>
      <c r="H12" s="12">
        <f t="shared" si="4"/>
        <v>0.02564434686</v>
      </c>
      <c r="I12" s="3"/>
      <c r="J12" s="12">
        <v>0.0</v>
      </c>
      <c r="K12" s="12">
        <v>1.0</v>
      </c>
      <c r="L12" s="16">
        <f>C13</f>
        <v>1041</v>
      </c>
      <c r="M12" s="15">
        <f t="shared" si="5"/>
        <v>0.3563847997</v>
      </c>
      <c r="N12" s="15">
        <f t="shared" si="6"/>
        <v>0.4641105662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>
        <v>1.0</v>
      </c>
      <c r="B13" s="13">
        <v>0.0</v>
      </c>
      <c r="C13" s="23">
        <v>1041.0</v>
      </c>
      <c r="D13" s="15">
        <f t="shared" si="1"/>
        <v>0.3563847997</v>
      </c>
      <c r="E13" s="15">
        <f t="shared" ref="E13:E14" si="7">C13/($C$13+$C$14)</f>
        <v>0.8057275542</v>
      </c>
      <c r="F13" s="12">
        <f t="shared" si="3"/>
        <v>0.02473194199</v>
      </c>
      <c r="G13" s="12">
        <v>1.0</v>
      </c>
      <c r="H13" s="12">
        <f t="shared" si="4"/>
        <v>0.02473194199</v>
      </c>
      <c r="I13" s="3"/>
      <c r="J13" s="12">
        <v>1.0</v>
      </c>
      <c r="K13" s="12">
        <v>0.0</v>
      </c>
      <c r="L13" s="16">
        <f>C12</f>
        <v>427</v>
      </c>
      <c r="M13" s="15">
        <f t="shared" si="5"/>
        <v>0.1461828141</v>
      </c>
      <c r="N13" s="15">
        <f t="shared" ref="N13:N14" si="8">L13/($L$14+$L$13)</f>
        <v>0.6297935103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">
        <v>1.0</v>
      </c>
      <c r="B14" s="13">
        <v>1.0</v>
      </c>
      <c r="C14" s="24">
        <v>251.0</v>
      </c>
      <c r="D14" s="15">
        <f t="shared" si="1"/>
        <v>0.08592947621</v>
      </c>
      <c r="E14" s="15">
        <f t="shared" si="7"/>
        <v>0.1942724458</v>
      </c>
      <c r="F14" s="12">
        <f t="shared" si="3"/>
        <v>-0.02206167302</v>
      </c>
      <c r="G14" s="12">
        <v>1.0</v>
      </c>
      <c r="H14" s="12">
        <f t="shared" si="4"/>
        <v>-0.02206167302</v>
      </c>
      <c r="I14" s="3"/>
      <c r="J14" s="12">
        <v>1.0</v>
      </c>
      <c r="K14" s="12">
        <v>1.0</v>
      </c>
      <c r="L14" s="16">
        <f>C14</f>
        <v>251</v>
      </c>
      <c r="M14" s="15">
        <f t="shared" si="5"/>
        <v>0.08592947621</v>
      </c>
      <c r="N14" s="15">
        <f t="shared" si="8"/>
        <v>0.3702064897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21">
        <f>SUM(C11:C14)</f>
        <v>2921</v>
      </c>
      <c r="D15" s="3"/>
      <c r="E15" s="3"/>
      <c r="F15" s="3"/>
      <c r="G15" s="3" t="s">
        <v>19</v>
      </c>
      <c r="H15" s="12">
        <f>SUM(H11:H14)</f>
        <v>0.004646215274</v>
      </c>
      <c r="I15" s="3"/>
      <c r="J15" s="3"/>
      <c r="K15" s="3"/>
      <c r="L15" s="21">
        <f>SUM(L11:L14)</f>
        <v>2921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22</v>
      </c>
      <c r="B17" s="3"/>
      <c r="C17" s="15">
        <f>(C11+C14)/C15</f>
        <v>0.4974323862</v>
      </c>
      <c r="D17" s="3"/>
      <c r="E17" s="3"/>
      <c r="F17" s="3"/>
      <c r="G17" s="3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23</v>
      </c>
      <c r="B18" s="3"/>
      <c r="C18" s="15">
        <f>(C17/C36)-1</f>
        <v>-0.1080417434</v>
      </c>
      <c r="D18" s="3"/>
      <c r="E18" s="3"/>
      <c r="F18" s="3"/>
      <c r="G18" s="3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24</v>
      </c>
      <c r="B19" s="3"/>
      <c r="C19" s="15">
        <f>(C17/(C36*C36))-1</f>
        <v>0.5993923066</v>
      </c>
      <c r="D19" s="3"/>
      <c r="E19" s="3"/>
      <c r="F19" s="3"/>
      <c r="G19" s="3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25</v>
      </c>
      <c r="B20" s="3"/>
      <c r="C20" s="15">
        <f>C17-(1.96*C37/SQRT(C15))</f>
        <v>0.4884867594</v>
      </c>
      <c r="D20" s="3"/>
      <c r="E20" s="3"/>
      <c r="F20" s="3"/>
      <c r="G20" s="3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26</v>
      </c>
      <c r="B21" s="3"/>
      <c r="C21" s="15">
        <f>C20*0.95</f>
        <v>0.4640624214</v>
      </c>
      <c r="D21" s="3"/>
      <c r="E21" s="3"/>
      <c r="F21" s="3"/>
      <c r="G21" s="3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27</v>
      </c>
      <c r="B24" s="3"/>
      <c r="C24" s="15">
        <f>C14/(C14+C13)</f>
        <v>0.1942724458</v>
      </c>
      <c r="D24" s="3"/>
      <c r="E24" s="3"/>
      <c r="F24" s="3"/>
      <c r="G24" s="3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28</v>
      </c>
      <c r="B25" s="3"/>
      <c r="C25" s="15">
        <f>C14/(C14+C12)</f>
        <v>0.3702064897</v>
      </c>
      <c r="D25" s="3" t="s">
        <v>29</v>
      </c>
      <c r="E25" s="25">
        <f>(C25/C35)-1</f>
        <v>-0.1630238728</v>
      </c>
      <c r="F25" s="3"/>
      <c r="G25" s="3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30</v>
      </c>
      <c r="B26" s="3"/>
      <c r="C26" s="15">
        <f>C12/(C12+C11)</f>
        <v>0.2621240025</v>
      </c>
      <c r="D26" s="3"/>
      <c r="E26" s="3"/>
      <c r="F26" s="3"/>
      <c r="G26" s="3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31</v>
      </c>
      <c r="B27" s="3"/>
      <c r="C27" s="15">
        <f>C14/(C14+C13+C12)</f>
        <v>0.1460151251</v>
      </c>
      <c r="D27" s="3"/>
      <c r="E27" s="3"/>
      <c r="F27" s="3"/>
      <c r="G27" s="3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32</v>
      </c>
      <c r="B28" s="3"/>
      <c r="C28" s="26">
        <f>C11/(C11+C12)</f>
        <v>0.7378759975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 t="s">
        <v>33</v>
      </c>
      <c r="B30" s="3"/>
      <c r="C30" s="3"/>
      <c r="D30" s="3"/>
      <c r="E30" s="3"/>
      <c r="F30" s="3"/>
      <c r="G30" s="8" t="s">
        <v>34</v>
      </c>
      <c r="H30" s="3"/>
      <c r="I30" s="3"/>
      <c r="J30" s="3"/>
      <c r="K30" s="3"/>
      <c r="L30" s="9" t="s">
        <v>35</v>
      </c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0</v>
      </c>
      <c r="B33" s="3" t="s">
        <v>14</v>
      </c>
      <c r="C33" s="3" t="s">
        <v>15</v>
      </c>
      <c r="D33" s="3" t="s">
        <v>36</v>
      </c>
      <c r="E33" s="3"/>
      <c r="F33" s="3"/>
      <c r="G33" s="3" t="s">
        <v>2</v>
      </c>
      <c r="H33" s="3" t="s">
        <v>14</v>
      </c>
      <c r="I33" s="3" t="s">
        <v>15</v>
      </c>
      <c r="J33" s="3" t="s">
        <v>36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>
        <v>0.0</v>
      </c>
      <c r="B34" s="21">
        <f>C11+C12</f>
        <v>1629</v>
      </c>
      <c r="C34" s="15">
        <f t="shared" ref="C34:C35" si="9">B34/$C$15</f>
        <v>0.5576857241</v>
      </c>
      <c r="D34" s="27">
        <f t="shared" ref="D34:D35" si="10">-C34*LOG(C34,2)</f>
        <v>0.469836701</v>
      </c>
      <c r="E34" s="3"/>
      <c r="F34" s="3"/>
      <c r="G34" s="12">
        <v>0.0</v>
      </c>
      <c r="H34" s="21">
        <f t="shared" ref="H34:H35" si="11">C11+C13</f>
        <v>2243</v>
      </c>
      <c r="I34" s="15">
        <f t="shared" ref="I34:I35" si="12">H34/$C$15</f>
        <v>0.7678877097</v>
      </c>
      <c r="J34" s="27">
        <f t="shared" ref="J34:J35" si="13">-I34*LOG(I34,2)</f>
        <v>0.2925903563</v>
      </c>
      <c r="K34" s="3"/>
      <c r="L34" s="3" t="s">
        <v>0</v>
      </c>
      <c r="M34" s="3" t="s">
        <v>2</v>
      </c>
      <c r="N34" s="3" t="s">
        <v>14</v>
      </c>
      <c r="O34" s="3" t="s">
        <v>15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>
        <v>1.0</v>
      </c>
      <c r="B35" s="21">
        <f>C15-B34</f>
        <v>1292</v>
      </c>
      <c r="C35" s="15">
        <f t="shared" si="9"/>
        <v>0.4423142759</v>
      </c>
      <c r="D35" s="27">
        <f t="shared" si="10"/>
        <v>0.520540337</v>
      </c>
      <c r="E35" s="3"/>
      <c r="F35" s="3"/>
      <c r="G35" s="12">
        <v>1.0</v>
      </c>
      <c r="H35" s="21">
        <f t="shared" si="11"/>
        <v>678</v>
      </c>
      <c r="I35" s="15">
        <f t="shared" si="12"/>
        <v>0.2321122903</v>
      </c>
      <c r="J35" s="27">
        <f t="shared" si="13"/>
        <v>0.4890850092</v>
      </c>
      <c r="K35" s="3"/>
      <c r="L35" s="12">
        <v>0.0</v>
      </c>
      <c r="M35" s="12">
        <v>0.0</v>
      </c>
      <c r="N35" s="28">
        <f>C34*I34*$C$15</f>
        <v>1250.889079</v>
      </c>
      <c r="O35" s="15">
        <f t="shared" ref="O35:O38" si="14">N35/$C$15</f>
        <v>0.4282400134</v>
      </c>
      <c r="P35" s="15">
        <f t="shared" ref="P35:P38" si="15">O35*G11</f>
        <v>0.4282400134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37</v>
      </c>
      <c r="B36" s="29"/>
      <c r="C36" s="15">
        <f>MAX(C34,C35)</f>
        <v>0.5576857241</v>
      </c>
      <c r="D36" s="3"/>
      <c r="E36" s="3"/>
      <c r="F36" s="3"/>
      <c r="G36" s="3" t="s">
        <v>37</v>
      </c>
      <c r="H36" s="29"/>
      <c r="I36" s="15">
        <f>MAX(I34,I35)</f>
        <v>0.7678877097</v>
      </c>
      <c r="J36" s="3"/>
      <c r="K36" s="3"/>
      <c r="L36" s="12">
        <v>0.0</v>
      </c>
      <c r="M36" s="12">
        <v>1.0</v>
      </c>
      <c r="N36" s="28">
        <f>C34*I35*$C$15</f>
        <v>378.1109209</v>
      </c>
      <c r="O36" s="15">
        <f t="shared" si="14"/>
        <v>0.1294457107</v>
      </c>
      <c r="P36" s="15">
        <f t="shared" si="15"/>
        <v>0.1294457107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38</v>
      </c>
      <c r="B37" s="29"/>
      <c r="C37" s="30">
        <f>C36*(1-C36)</f>
        <v>0.2466723572</v>
      </c>
      <c r="D37" s="3"/>
      <c r="E37" s="3"/>
      <c r="F37" s="3"/>
      <c r="G37" s="3" t="s">
        <v>38</v>
      </c>
      <c r="H37" s="29"/>
      <c r="I37" s="30">
        <f>I36*(1-I36)</f>
        <v>0.178236175</v>
      </c>
      <c r="J37" s="3"/>
      <c r="K37" s="3"/>
      <c r="L37" s="12">
        <v>1.0</v>
      </c>
      <c r="M37" s="12">
        <v>0.0</v>
      </c>
      <c r="N37" s="28">
        <f>C35*I34*$C$15</f>
        <v>992.1109209</v>
      </c>
      <c r="O37" s="15">
        <f t="shared" si="14"/>
        <v>0.3396476963</v>
      </c>
      <c r="P37" s="15">
        <f t="shared" si="15"/>
        <v>0.3396476963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39</v>
      </c>
      <c r="B38" s="21">
        <f>SUM(B34:B35)</f>
        <v>2921</v>
      </c>
      <c r="C38" s="3"/>
      <c r="D38" s="3"/>
      <c r="E38" s="3"/>
      <c r="F38" s="3"/>
      <c r="G38" s="3" t="s">
        <v>40</v>
      </c>
      <c r="H38" s="21">
        <f>SUM(H34:H35)</f>
        <v>2921</v>
      </c>
      <c r="I38" s="3"/>
      <c r="J38" s="3"/>
      <c r="K38" s="3"/>
      <c r="L38" s="12">
        <v>1.0</v>
      </c>
      <c r="M38" s="12">
        <v>1.0</v>
      </c>
      <c r="N38" s="28">
        <f>C35*I35*$C$15</f>
        <v>299.8890791</v>
      </c>
      <c r="O38" s="15">
        <f t="shared" si="14"/>
        <v>0.1026665796</v>
      </c>
      <c r="P38" s="15">
        <f t="shared" si="15"/>
        <v>0.1026665796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41</v>
      </c>
      <c r="B39" s="27">
        <f>SUM(D34:D35)</f>
        <v>0.990377038</v>
      </c>
      <c r="C39" s="3"/>
      <c r="D39" s="3"/>
      <c r="E39" s="3"/>
      <c r="F39" s="3"/>
      <c r="G39" s="3" t="s">
        <v>41</v>
      </c>
      <c r="H39" s="27">
        <f>SUM(J34:J35)</f>
        <v>0.7816753655</v>
      </c>
      <c r="I39" s="3"/>
      <c r="J39" s="3"/>
      <c r="K39" s="3"/>
      <c r="L39" s="3"/>
      <c r="M39" s="3"/>
      <c r="N39" s="28">
        <f>SUM(N35:N38)</f>
        <v>2921</v>
      </c>
      <c r="O39" s="3"/>
      <c r="P39" s="31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42</v>
      </c>
      <c r="B41" s="12">
        <f>SUM(F11:F14)</f>
        <v>0.004646215274</v>
      </c>
      <c r="C41" s="3"/>
      <c r="D41" s="3"/>
      <c r="E41" s="3"/>
      <c r="F41" s="3"/>
      <c r="G41" s="3"/>
      <c r="H41" s="3"/>
      <c r="I41" s="3"/>
      <c r="J41" s="3"/>
      <c r="K41" s="3"/>
      <c r="L41" s="9" t="s">
        <v>43</v>
      </c>
      <c r="M41" s="3"/>
      <c r="N41" s="15">
        <f>N38/(N38+N36)</f>
        <v>0.4423142759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44</v>
      </c>
      <c r="B42" s="32">
        <f>B41/B39</f>
        <v>0.004691360054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45</v>
      </c>
      <c r="B43" s="32">
        <f>B41/H39</f>
        <v>0.005943919278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 t="s">
        <v>59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47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48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63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50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51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67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53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54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 t="s">
        <v>55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56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 t="s">
        <v>72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58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74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 t="s">
        <v>61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 t="s">
        <v>75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 t="s">
        <v>76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 t="s">
        <v>77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 t="s">
        <v>80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82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 t="s">
        <v>69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 t="s">
        <v>70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85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73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 t="s">
        <v>70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 t="s">
        <v>85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3"/>
      <c r="B76" s="33"/>
      <c r="C76" s="33"/>
      <c r="D76" s="33"/>
      <c r="E76" s="3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5"/>
      <c r="B77" s="36"/>
      <c r="C77" s="37"/>
      <c r="D77" s="37"/>
      <c r="E77" s="3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5"/>
      <c r="B78" s="36"/>
      <c r="C78" s="37"/>
      <c r="D78" s="3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2" t="s">
        <v>21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9</v>
      </c>
      <c r="B6" s="7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12</v>
      </c>
      <c r="B9" s="3"/>
      <c r="C9" s="3"/>
      <c r="D9" s="3"/>
      <c r="E9" s="3"/>
      <c r="F9" s="3"/>
      <c r="G9" s="3"/>
      <c r="H9" s="3"/>
      <c r="I9" s="3"/>
      <c r="J9" s="9" t="s">
        <v>13</v>
      </c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0</v>
      </c>
      <c r="B10" s="3" t="s">
        <v>2</v>
      </c>
      <c r="C10" s="10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11" t="s">
        <v>19</v>
      </c>
      <c r="I10" s="3"/>
      <c r="J10" s="3" t="s">
        <v>2</v>
      </c>
      <c r="K10" s="3" t="s">
        <v>0</v>
      </c>
      <c r="L10" s="3" t="s">
        <v>14</v>
      </c>
      <c r="M10" s="3" t="s">
        <v>15</v>
      </c>
      <c r="N10" s="9" t="s">
        <v>20</v>
      </c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>
        <v>0.0</v>
      </c>
      <c r="B11" s="13">
        <v>0.0</v>
      </c>
      <c r="C11" s="19">
        <v>2161.0</v>
      </c>
      <c r="D11" s="15">
        <f t="shared" ref="D11:D14" si="1">C11/$C$15</f>
        <v>0.7398151318</v>
      </c>
      <c r="E11" s="15">
        <f t="shared" ref="E11:E12" si="2">C11/($C$11+$C$12)</f>
        <v>0.8713709677</v>
      </c>
      <c r="F11" s="12">
        <f t="shared" ref="F11:F14" si="3">IF(ISERR(D11*LOG(D11/O35,2)),0,D11*LOG(D11/O35,2))</f>
        <v>-0.001142250772</v>
      </c>
      <c r="G11" s="12">
        <v>1.0</v>
      </c>
      <c r="H11" s="12">
        <f t="shared" ref="H11:H14" si="4">G11*F11</f>
        <v>-0.001142250772</v>
      </c>
      <c r="I11" s="3"/>
      <c r="J11" s="12">
        <v>0.0</v>
      </c>
      <c r="K11" s="12">
        <v>0.0</v>
      </c>
      <c r="L11" s="16">
        <f>C11</f>
        <v>2161</v>
      </c>
      <c r="M11" s="15">
        <f t="shared" ref="M11:M14" si="5">L11/$L$15</f>
        <v>0.7398151318</v>
      </c>
      <c r="N11" s="15">
        <f t="shared" ref="N11:N12" si="6">L11/($L$12+$L$11)</f>
        <v>0.8481161695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>
        <v>0.0</v>
      </c>
      <c r="B12" s="13">
        <v>1.0</v>
      </c>
      <c r="C12" s="22">
        <v>319.0</v>
      </c>
      <c r="D12" s="15">
        <f t="shared" si="1"/>
        <v>0.1092091749</v>
      </c>
      <c r="E12" s="15">
        <f t="shared" si="2"/>
        <v>0.1286290323</v>
      </c>
      <c r="F12" s="12">
        <f t="shared" si="3"/>
        <v>0.001147027357</v>
      </c>
      <c r="G12" s="12">
        <v>1.0</v>
      </c>
      <c r="H12" s="12">
        <f t="shared" si="4"/>
        <v>0.001147027357</v>
      </c>
      <c r="I12" s="3"/>
      <c r="J12" s="12">
        <v>0.0</v>
      </c>
      <c r="K12" s="12">
        <v>1.0</v>
      </c>
      <c r="L12" s="16">
        <f>C13</f>
        <v>387</v>
      </c>
      <c r="M12" s="15">
        <f t="shared" si="5"/>
        <v>0.1324888737</v>
      </c>
      <c r="N12" s="15">
        <f t="shared" si="6"/>
        <v>0.1518838305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>
        <v>1.0</v>
      </c>
      <c r="B13" s="13">
        <v>0.0</v>
      </c>
      <c r="C13" s="23">
        <v>387.0</v>
      </c>
      <c r="D13" s="15">
        <f t="shared" si="1"/>
        <v>0.1324888737</v>
      </c>
      <c r="E13" s="15">
        <f t="shared" ref="E13:E14" si="7">C13/($C$13+$C$14)</f>
        <v>0.8775510204</v>
      </c>
      <c r="F13" s="12">
        <f t="shared" si="3"/>
        <v>0.001146292564</v>
      </c>
      <c r="G13" s="12">
        <v>1.0</v>
      </c>
      <c r="H13" s="12">
        <f t="shared" si="4"/>
        <v>0.001146292564</v>
      </c>
      <c r="I13" s="3"/>
      <c r="J13" s="12">
        <v>1.0</v>
      </c>
      <c r="K13" s="12">
        <v>0.0</v>
      </c>
      <c r="L13" s="16">
        <f>C12</f>
        <v>319</v>
      </c>
      <c r="M13" s="15">
        <f t="shared" si="5"/>
        <v>0.1092091749</v>
      </c>
      <c r="N13" s="15">
        <f t="shared" ref="N13:N14" si="8">L13/($L$14+$L$13)</f>
        <v>0.855227882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">
        <v>1.0</v>
      </c>
      <c r="B14" s="13">
        <v>1.0</v>
      </c>
      <c r="C14" s="24">
        <v>54.0</v>
      </c>
      <c r="D14" s="15">
        <f t="shared" si="1"/>
        <v>0.01848681958</v>
      </c>
      <c r="E14" s="15">
        <f t="shared" si="7"/>
        <v>0.1224489796</v>
      </c>
      <c r="F14" s="12">
        <f t="shared" si="3"/>
        <v>-0.001119053791</v>
      </c>
      <c r="G14" s="12">
        <v>1.0</v>
      </c>
      <c r="H14" s="12">
        <f t="shared" si="4"/>
        <v>-0.001119053791</v>
      </c>
      <c r="I14" s="3"/>
      <c r="J14" s="12">
        <v>1.0</v>
      </c>
      <c r="K14" s="12">
        <v>1.0</v>
      </c>
      <c r="L14" s="16">
        <f>C14</f>
        <v>54</v>
      </c>
      <c r="M14" s="15">
        <f t="shared" si="5"/>
        <v>0.01848681958</v>
      </c>
      <c r="N14" s="15">
        <f t="shared" si="8"/>
        <v>0.144772118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21">
        <f>SUM(C11:C14)</f>
        <v>2921</v>
      </c>
      <c r="D15" s="3"/>
      <c r="E15" s="3"/>
      <c r="F15" s="3"/>
      <c r="G15" s="3" t="s">
        <v>19</v>
      </c>
      <c r="H15" s="12">
        <f>SUM(H11:H14)</f>
        <v>0.00003201535704</v>
      </c>
      <c r="I15" s="3"/>
      <c r="J15" s="3"/>
      <c r="K15" s="3"/>
      <c r="L15" s="21">
        <f>SUM(L11:L14)</f>
        <v>2921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22</v>
      </c>
      <c r="B17" s="3"/>
      <c r="C17" s="15">
        <f>(C11+C14)/C15</f>
        <v>0.7583019514</v>
      </c>
      <c r="D17" s="3"/>
      <c r="E17" s="3"/>
      <c r="F17" s="3"/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23</v>
      </c>
      <c r="B18" s="3"/>
      <c r="C18" s="15">
        <f>(C17/C36)-1</f>
        <v>-0.1068548387</v>
      </c>
      <c r="D18" s="3"/>
      <c r="E18" s="3"/>
      <c r="F18" s="3"/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24</v>
      </c>
      <c r="B19" s="3"/>
      <c r="C19" s="15">
        <f>(C17/(C36*C36))-1</f>
        <v>0.05196653876</v>
      </c>
      <c r="D19" s="3"/>
      <c r="E19" s="3"/>
      <c r="F19" s="3"/>
      <c r="G19" s="6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25</v>
      </c>
      <c r="B20" s="3"/>
      <c r="C20" s="15">
        <f>C17-(1.96*C37/SQRT(C15))</f>
        <v>0.753653402</v>
      </c>
      <c r="D20" s="3"/>
      <c r="E20" s="3"/>
      <c r="F20" s="3"/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26</v>
      </c>
      <c r="B21" s="3"/>
      <c r="C21" s="15">
        <f>C20*0.95</f>
        <v>0.7159707319</v>
      </c>
      <c r="D21" s="3"/>
      <c r="E21" s="3"/>
      <c r="F21" s="3"/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27</v>
      </c>
      <c r="B24" s="3"/>
      <c r="C24" s="15">
        <f>C14/(C14+C13)</f>
        <v>0.1224489796</v>
      </c>
      <c r="D24" s="3"/>
      <c r="E24" s="3"/>
      <c r="F24" s="3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28</v>
      </c>
      <c r="B25" s="3"/>
      <c r="C25" s="15">
        <f>C14/(C14+C12)</f>
        <v>0.144772118</v>
      </c>
      <c r="D25" s="3" t="s">
        <v>29</v>
      </c>
      <c r="E25" s="25">
        <f>(C25/C35)-1</f>
        <v>-0.0410898944</v>
      </c>
      <c r="F25" s="3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30</v>
      </c>
      <c r="B26" s="3"/>
      <c r="C26" s="15">
        <f>C12/(C12+C11)</f>
        <v>0.1286290323</v>
      </c>
      <c r="D26" s="3"/>
      <c r="E26" s="3"/>
      <c r="F26" s="3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31</v>
      </c>
      <c r="B27" s="3"/>
      <c r="C27" s="15">
        <f>C14/(C14+C13+C12)</f>
        <v>0.07105263158</v>
      </c>
      <c r="D27" s="3"/>
      <c r="E27" s="3"/>
      <c r="F27" s="3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32</v>
      </c>
      <c r="B28" s="3"/>
      <c r="C28" s="26">
        <f>C11/(C11+C12)</f>
        <v>0.8713709677</v>
      </c>
      <c r="D28" s="3"/>
      <c r="E28" s="3"/>
      <c r="F28" s="3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 t="s">
        <v>33</v>
      </c>
      <c r="B30" s="3"/>
      <c r="C30" s="3"/>
      <c r="D30" s="3"/>
      <c r="E30" s="3"/>
      <c r="F30" s="3"/>
      <c r="G30" s="8" t="s">
        <v>34</v>
      </c>
      <c r="H30" s="3"/>
      <c r="I30" s="3"/>
      <c r="J30" s="3"/>
      <c r="K30" s="3"/>
      <c r="L30" s="9" t="s">
        <v>35</v>
      </c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0</v>
      </c>
      <c r="B33" s="3" t="s">
        <v>14</v>
      </c>
      <c r="C33" s="3" t="s">
        <v>15</v>
      </c>
      <c r="D33" s="3" t="s">
        <v>36</v>
      </c>
      <c r="E33" s="3"/>
      <c r="F33" s="3"/>
      <c r="G33" s="3" t="s">
        <v>2</v>
      </c>
      <c r="H33" s="3" t="s">
        <v>14</v>
      </c>
      <c r="I33" s="3" t="s">
        <v>15</v>
      </c>
      <c r="J33" s="3" t="s">
        <v>36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>
        <v>0.0</v>
      </c>
      <c r="B34" s="21">
        <f>C11+C12</f>
        <v>2480</v>
      </c>
      <c r="C34" s="15">
        <f t="shared" ref="C34:C35" si="9">B34/$C$15</f>
        <v>0.8490243067</v>
      </c>
      <c r="D34" s="27">
        <f t="shared" ref="D34:D35" si="10">-C34*LOG(C34,2)</f>
        <v>0.200473519</v>
      </c>
      <c r="E34" s="3"/>
      <c r="F34" s="3"/>
      <c r="G34" s="12">
        <v>0.0</v>
      </c>
      <c r="H34" s="21">
        <f t="shared" ref="H34:H35" si="11">C11+C13</f>
        <v>2548</v>
      </c>
      <c r="I34" s="15">
        <f t="shared" ref="I34:I35" si="12">H34/$C$15</f>
        <v>0.8723040055</v>
      </c>
      <c r="J34" s="27">
        <f t="shared" ref="J34:J35" si="13">-I34*LOG(I34,2)</f>
        <v>0.1719285729</v>
      </c>
      <c r="K34" s="3"/>
      <c r="L34" s="3" t="s">
        <v>0</v>
      </c>
      <c r="M34" s="3" t="s">
        <v>2</v>
      </c>
      <c r="N34" s="3" t="s">
        <v>14</v>
      </c>
      <c r="O34" s="3" t="s">
        <v>15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>
        <v>1.0</v>
      </c>
      <c r="B35" s="21">
        <f>C15-B34</f>
        <v>441</v>
      </c>
      <c r="C35" s="15">
        <f t="shared" si="9"/>
        <v>0.1509756933</v>
      </c>
      <c r="D35" s="27">
        <f t="shared" si="10"/>
        <v>0.411803082</v>
      </c>
      <c r="E35" s="3"/>
      <c r="F35" s="3"/>
      <c r="G35" s="12">
        <v>1.0</v>
      </c>
      <c r="H35" s="21">
        <f t="shared" si="11"/>
        <v>373</v>
      </c>
      <c r="I35" s="15">
        <f t="shared" si="12"/>
        <v>0.1276959945</v>
      </c>
      <c r="J35" s="27">
        <f t="shared" si="13"/>
        <v>0.3791568397</v>
      </c>
      <c r="K35" s="3"/>
      <c r="L35" s="12">
        <v>0.0</v>
      </c>
      <c r="M35" s="12">
        <v>0.0</v>
      </c>
      <c r="N35" s="28">
        <f>C34*I34*$C$15</f>
        <v>2163.313934</v>
      </c>
      <c r="O35" s="15">
        <f t="shared" ref="O35:O38" si="14">N35/$C$15</f>
        <v>0.7406073035</v>
      </c>
      <c r="P35" s="15">
        <f t="shared" ref="P35:P38" si="15">O35*G11</f>
        <v>0.7406073035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37</v>
      </c>
      <c r="B36" s="29"/>
      <c r="C36" s="15">
        <f>MAX(C34,C35)</f>
        <v>0.8490243067</v>
      </c>
      <c r="D36" s="3"/>
      <c r="E36" s="3"/>
      <c r="F36" s="3"/>
      <c r="G36" s="3" t="s">
        <v>37</v>
      </c>
      <c r="H36" s="29"/>
      <c r="I36" s="15">
        <f>MAX(I34,I35)</f>
        <v>0.8723040055</v>
      </c>
      <c r="J36" s="3"/>
      <c r="K36" s="3"/>
      <c r="L36" s="12">
        <v>0.0</v>
      </c>
      <c r="M36" s="12">
        <v>1.0</v>
      </c>
      <c r="N36" s="28">
        <f>C34*I35*$C$15</f>
        <v>316.6860664</v>
      </c>
      <c r="O36" s="15">
        <f t="shared" si="14"/>
        <v>0.1084170032</v>
      </c>
      <c r="P36" s="15">
        <f t="shared" si="15"/>
        <v>0.1084170032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38</v>
      </c>
      <c r="B37" s="29"/>
      <c r="C37" s="30">
        <f>C36*(1-C36)</f>
        <v>0.1281820333</v>
      </c>
      <c r="D37" s="3"/>
      <c r="E37" s="3"/>
      <c r="F37" s="3"/>
      <c r="G37" s="3" t="s">
        <v>38</v>
      </c>
      <c r="H37" s="29"/>
      <c r="I37" s="30">
        <f>I36*(1-I36)</f>
        <v>0.1113897275</v>
      </c>
      <c r="J37" s="3"/>
      <c r="K37" s="3"/>
      <c r="L37" s="12">
        <v>1.0</v>
      </c>
      <c r="M37" s="12">
        <v>0.0</v>
      </c>
      <c r="N37" s="28">
        <f>C35*I34*$C$15</f>
        <v>384.6860664</v>
      </c>
      <c r="O37" s="15">
        <f t="shared" si="14"/>
        <v>0.131696702</v>
      </c>
      <c r="P37" s="15">
        <f t="shared" si="15"/>
        <v>0.131696702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39</v>
      </c>
      <c r="B38" s="21">
        <f>SUM(B34:B35)</f>
        <v>2921</v>
      </c>
      <c r="C38" s="3"/>
      <c r="D38" s="3"/>
      <c r="E38" s="3"/>
      <c r="F38" s="3"/>
      <c r="G38" s="3" t="s">
        <v>40</v>
      </c>
      <c r="H38" s="21">
        <f>SUM(H34:H35)</f>
        <v>2921</v>
      </c>
      <c r="I38" s="3"/>
      <c r="J38" s="3"/>
      <c r="K38" s="3"/>
      <c r="L38" s="12">
        <v>1.0</v>
      </c>
      <c r="M38" s="12">
        <v>1.0</v>
      </c>
      <c r="N38" s="28">
        <f>C35*I35*$C$15</f>
        <v>56.31393358</v>
      </c>
      <c r="O38" s="15">
        <f t="shared" si="14"/>
        <v>0.0192789913</v>
      </c>
      <c r="P38" s="15">
        <f t="shared" si="15"/>
        <v>0.0192789913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41</v>
      </c>
      <c r="B39" s="27">
        <f>SUM(D34:D35)</f>
        <v>0.6122766011</v>
      </c>
      <c r="C39" s="3"/>
      <c r="D39" s="3"/>
      <c r="E39" s="3"/>
      <c r="F39" s="3"/>
      <c r="G39" s="3" t="s">
        <v>41</v>
      </c>
      <c r="H39" s="27">
        <f>SUM(J34:J35)</f>
        <v>0.5510854126</v>
      </c>
      <c r="I39" s="3"/>
      <c r="J39" s="3"/>
      <c r="K39" s="3"/>
      <c r="L39" s="3"/>
      <c r="M39" s="3"/>
      <c r="N39" s="28">
        <f>SUM(N35:N38)</f>
        <v>2921</v>
      </c>
      <c r="O39" s="3"/>
      <c r="P39" s="31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42</v>
      </c>
      <c r="B41" s="12">
        <f>SUM(F11:F14)</f>
        <v>0.00003201535704</v>
      </c>
      <c r="C41" s="3"/>
      <c r="D41" s="3"/>
      <c r="E41" s="3"/>
      <c r="F41" s="3"/>
      <c r="G41" s="3"/>
      <c r="H41" s="3"/>
      <c r="I41" s="3"/>
      <c r="J41" s="3"/>
      <c r="K41" s="3"/>
      <c r="L41" s="9" t="s">
        <v>43</v>
      </c>
      <c r="M41" s="3"/>
      <c r="N41" s="15">
        <f>N38/(N38+N36)</f>
        <v>0.1509756933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44</v>
      </c>
      <c r="B42" s="32">
        <f>B41/B39</f>
        <v>0.00005228904221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45</v>
      </c>
      <c r="B43" s="32">
        <f>B41/H39</f>
        <v>0.00005809509072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 t="s">
        <v>59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47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78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81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50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51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67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53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54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 t="s">
        <v>55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56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 t="s">
        <v>72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58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74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 t="s">
        <v>61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 t="s">
        <v>75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 t="s">
        <v>76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 t="s">
        <v>77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 t="s">
        <v>80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82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 t="s">
        <v>69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 t="s">
        <v>70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85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73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 t="s">
        <v>70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 t="s">
        <v>85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3"/>
      <c r="B76" s="33"/>
      <c r="C76" s="33"/>
      <c r="D76" s="33"/>
      <c r="E76" s="3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5"/>
      <c r="B77" s="36"/>
      <c r="C77" s="37"/>
      <c r="D77" s="37"/>
      <c r="E77" s="3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5"/>
      <c r="B78" s="36"/>
      <c r="C78" s="37"/>
      <c r="D78" s="3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2" t="s">
        <v>21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4</v>
      </c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6</v>
      </c>
      <c r="B4" s="6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9</v>
      </c>
      <c r="B6" s="7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11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12</v>
      </c>
      <c r="B9" s="3"/>
      <c r="C9" s="3"/>
      <c r="D9" s="3"/>
      <c r="E9" s="3"/>
      <c r="F9" s="3"/>
      <c r="G9" s="3"/>
      <c r="H9" s="3"/>
      <c r="I9" s="3"/>
      <c r="J9" s="9" t="s">
        <v>13</v>
      </c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0</v>
      </c>
      <c r="B10" s="3" t="s">
        <v>2</v>
      </c>
      <c r="C10" s="10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11" t="s">
        <v>19</v>
      </c>
      <c r="I10" s="3"/>
      <c r="J10" s="3" t="s">
        <v>2</v>
      </c>
      <c r="K10" s="3" t="s">
        <v>0</v>
      </c>
      <c r="L10" s="3" t="s">
        <v>14</v>
      </c>
      <c r="M10" s="3" t="s">
        <v>15</v>
      </c>
      <c r="N10" s="9" t="s">
        <v>20</v>
      </c>
      <c r="O10" s="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>
        <v>0.0</v>
      </c>
      <c r="B11" s="13">
        <v>0.0</v>
      </c>
      <c r="C11" s="39">
        <v>195188.0</v>
      </c>
      <c r="D11" s="15">
        <f t="shared" ref="D11:D14" si="1">C11/$C$15</f>
        <v>0.5989511573</v>
      </c>
      <c r="E11" s="15">
        <f t="shared" ref="E11:E12" si="2">C11/($C$11+$C$12)</f>
        <v>0.7791718395</v>
      </c>
      <c r="F11" s="12">
        <f t="shared" ref="F11:F14" si="3">IF(ISERR(D11*LOG(D11/O35,2)),0,D11*LOG(D11/O35,2))</f>
        <v>-0.008884316899</v>
      </c>
      <c r="G11" s="12">
        <v>1.0</v>
      </c>
      <c r="H11" s="12">
        <f t="shared" ref="H11:H14" si="4">G11*F11</f>
        <v>-0.008884316899</v>
      </c>
      <c r="I11" s="3"/>
      <c r="J11" s="12">
        <v>0.0</v>
      </c>
      <c r="K11" s="12">
        <v>0.0</v>
      </c>
      <c r="L11" s="16">
        <f>C11</f>
        <v>195188</v>
      </c>
      <c r="M11" s="15">
        <f t="shared" ref="M11:M14" si="5">L11/$L$15</f>
        <v>0.5989511573</v>
      </c>
      <c r="N11" s="15">
        <f t="shared" ref="N11:N12" si="6">L11/($L$12+$L$11)</f>
        <v>0.7608393135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2">
        <v>0.0</v>
      </c>
      <c r="B12" s="13">
        <v>1.0</v>
      </c>
      <c r="C12" s="39">
        <v>55319.0</v>
      </c>
      <c r="D12" s="15">
        <f t="shared" si="1"/>
        <v>0.169751107</v>
      </c>
      <c r="E12" s="15">
        <f t="shared" si="2"/>
        <v>0.2208281605</v>
      </c>
      <c r="F12" s="12">
        <f t="shared" si="3"/>
        <v>0.009097032678</v>
      </c>
      <c r="G12" s="12">
        <v>1.0</v>
      </c>
      <c r="H12" s="12">
        <f t="shared" si="4"/>
        <v>0.009097032678</v>
      </c>
      <c r="I12" s="3"/>
      <c r="J12" s="12">
        <v>0.0</v>
      </c>
      <c r="K12" s="12">
        <v>1.0</v>
      </c>
      <c r="L12" s="16">
        <f>C13</f>
        <v>61355</v>
      </c>
      <c r="M12" s="15">
        <f t="shared" si="5"/>
        <v>0.1882730919</v>
      </c>
      <c r="N12" s="15">
        <f t="shared" si="6"/>
        <v>0.2391606865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2">
        <v>1.0</v>
      </c>
      <c r="B13" s="13">
        <v>0.0</v>
      </c>
      <c r="C13" s="39">
        <v>61355.0</v>
      </c>
      <c r="D13" s="15">
        <f t="shared" si="1"/>
        <v>0.1882730919</v>
      </c>
      <c r="E13" s="15">
        <f t="shared" ref="E13:E14" si="7">C13/($C$13+$C$14)</f>
        <v>0.8139858841</v>
      </c>
      <c r="F13" s="12">
        <f t="shared" si="3"/>
        <v>0.00908024453</v>
      </c>
      <c r="G13" s="12">
        <v>1.0</v>
      </c>
      <c r="H13" s="12">
        <f t="shared" si="4"/>
        <v>0.00908024453</v>
      </c>
      <c r="I13" s="3"/>
      <c r="J13" s="12">
        <v>1.0</v>
      </c>
      <c r="K13" s="12">
        <v>0.0</v>
      </c>
      <c r="L13" s="16">
        <f>C12</f>
        <v>55319</v>
      </c>
      <c r="M13" s="15">
        <f t="shared" si="5"/>
        <v>0.169751107</v>
      </c>
      <c r="N13" s="15">
        <f t="shared" ref="N13:N14" si="8">L13/($L$14+$L$13)</f>
        <v>0.7977934814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2">
        <v>1.0</v>
      </c>
      <c r="B14" s="13">
        <v>1.0</v>
      </c>
      <c r="C14" s="39">
        <v>14021.0</v>
      </c>
      <c r="D14" s="15">
        <f t="shared" si="1"/>
        <v>0.04302464381</v>
      </c>
      <c r="E14" s="15">
        <f t="shared" si="7"/>
        <v>0.1860141159</v>
      </c>
      <c r="F14" s="12">
        <f t="shared" si="3"/>
        <v>-0.008343409316</v>
      </c>
      <c r="G14" s="12">
        <v>1.0</v>
      </c>
      <c r="H14" s="12">
        <f t="shared" si="4"/>
        <v>-0.008343409316</v>
      </c>
      <c r="I14" s="3"/>
      <c r="J14" s="12">
        <v>1.0</v>
      </c>
      <c r="K14" s="12">
        <v>1.0</v>
      </c>
      <c r="L14" s="16">
        <f>C14</f>
        <v>14021</v>
      </c>
      <c r="M14" s="15">
        <f t="shared" si="5"/>
        <v>0.04302464381</v>
      </c>
      <c r="N14" s="15">
        <f t="shared" si="8"/>
        <v>0.2022065186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21">
        <f>SUM(C11:C14)</f>
        <v>325883</v>
      </c>
      <c r="D15" s="3"/>
      <c r="E15" s="3"/>
      <c r="F15" s="3"/>
      <c r="G15" s="3" t="s">
        <v>19</v>
      </c>
      <c r="H15" s="12">
        <f>SUM(H11:H14)</f>
        <v>0.0009495509929</v>
      </c>
      <c r="I15" s="3"/>
      <c r="J15" s="3"/>
      <c r="K15" s="3"/>
      <c r="L15" s="21">
        <f>SUM(L11:L14)</f>
        <v>325883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22</v>
      </c>
      <c r="B17" s="3"/>
      <c r="C17" s="15">
        <f>(C11+C14)/C15</f>
        <v>0.6419758011</v>
      </c>
      <c r="D17" s="3"/>
      <c r="E17" s="3"/>
      <c r="F17" s="6"/>
      <c r="G17" s="6"/>
      <c r="H17" s="6"/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23</v>
      </c>
      <c r="B18" s="3"/>
      <c r="C18" s="15">
        <f>(C17/C36)-1</f>
        <v>-0.1648576686</v>
      </c>
      <c r="D18" s="3"/>
      <c r="E18" s="3"/>
      <c r="F18" s="6"/>
      <c r="G18" s="6"/>
      <c r="H18" s="6"/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24</v>
      </c>
      <c r="B19" s="3"/>
      <c r="C19" s="15">
        <f>(C17/(C36*C36))-1</f>
        <v>0.08643147045</v>
      </c>
      <c r="D19" s="3"/>
      <c r="E19" s="3"/>
      <c r="F19" s="6"/>
      <c r="G19" s="6"/>
      <c r="H19" s="6"/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25</v>
      </c>
      <c r="B20" s="3"/>
      <c r="C20" s="15">
        <f>C17-(1.96*C37/SQRT(C15))</f>
        <v>0.6413653446</v>
      </c>
      <c r="D20" s="3"/>
      <c r="E20" s="3"/>
      <c r="F20" s="6"/>
      <c r="G20" s="6"/>
      <c r="H20" s="6"/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26</v>
      </c>
      <c r="B21" s="3"/>
      <c r="C21" s="15">
        <f>C20*0.95</f>
        <v>0.6092970773</v>
      </c>
      <c r="D21" s="3"/>
      <c r="E21" s="3"/>
      <c r="F21" s="6"/>
      <c r="G21" s="6"/>
      <c r="H21" s="6"/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6"/>
      <c r="G22" s="6"/>
      <c r="H22" s="6"/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6"/>
      <c r="G23" s="6"/>
      <c r="H23" s="6"/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 t="s">
        <v>27</v>
      </c>
      <c r="B24" s="3"/>
      <c r="C24" s="15">
        <f>C14/(C14+C13)</f>
        <v>0.1860141159</v>
      </c>
      <c r="D24" s="3"/>
      <c r="E24" s="3"/>
      <c r="F24" s="6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 t="s">
        <v>28</v>
      </c>
      <c r="B25" s="3"/>
      <c r="C25" s="15">
        <f>C14/(C14+C12)</f>
        <v>0.2022065186</v>
      </c>
      <c r="D25" s="3" t="s">
        <v>29</v>
      </c>
      <c r="E25" s="25">
        <f>(C25/C35)-1</f>
        <v>-0.1257738948</v>
      </c>
      <c r="F25" s="6"/>
      <c r="G25" s="6"/>
      <c r="H25" s="6"/>
      <c r="I25" s="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 t="s">
        <v>30</v>
      </c>
      <c r="B26" s="3"/>
      <c r="C26" s="15">
        <f>C12/(C12+C11)</f>
        <v>0.2208281605</v>
      </c>
      <c r="D26" s="3"/>
      <c r="E26" s="3"/>
      <c r="F26" s="6"/>
      <c r="G26" s="6"/>
      <c r="H26" s="6"/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 t="s">
        <v>31</v>
      </c>
      <c r="B27" s="3"/>
      <c r="C27" s="15">
        <f>C14/(C14+C13+C12)</f>
        <v>0.1072803091</v>
      </c>
      <c r="D27" s="3"/>
      <c r="E27" s="3"/>
      <c r="F27" s="6"/>
      <c r="G27" s="6"/>
      <c r="H27" s="6"/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 t="s">
        <v>32</v>
      </c>
      <c r="B28" s="3"/>
      <c r="C28" s="26">
        <f>C11/(C11+C12)</f>
        <v>0.7791718395</v>
      </c>
      <c r="D28" s="3"/>
      <c r="E28" s="3"/>
      <c r="F28" s="6"/>
      <c r="G28" s="6"/>
      <c r="H28" s="6"/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 t="s">
        <v>33</v>
      </c>
      <c r="B30" s="3"/>
      <c r="C30" s="3"/>
      <c r="D30" s="3"/>
      <c r="E30" s="3"/>
      <c r="F30" s="3"/>
      <c r="G30" s="40"/>
      <c r="H30" s="3"/>
      <c r="I30" s="3"/>
      <c r="J30" s="3"/>
      <c r="K30" s="3"/>
      <c r="L30" s="9" t="s">
        <v>35</v>
      </c>
      <c r="M30" s="4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 t="s">
        <v>0</v>
      </c>
      <c r="B33" s="3" t="s">
        <v>14</v>
      </c>
      <c r="C33" s="3" t="s">
        <v>15</v>
      </c>
      <c r="D33" s="3" t="s">
        <v>36</v>
      </c>
      <c r="E33" s="3"/>
      <c r="F33" s="3"/>
      <c r="G33" s="3" t="s">
        <v>2</v>
      </c>
      <c r="H33" s="3" t="s">
        <v>14</v>
      </c>
      <c r="I33" s="3" t="s">
        <v>15</v>
      </c>
      <c r="J33" s="3" t="s">
        <v>36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2">
        <v>0.0</v>
      </c>
      <c r="B34" s="21">
        <f>C11+C12</f>
        <v>250507</v>
      </c>
      <c r="C34" s="15">
        <f t="shared" ref="C34:C35" si="9">B34/$C$15</f>
        <v>0.7687022643</v>
      </c>
      <c r="D34" s="27">
        <f t="shared" ref="D34:D35" si="10">-C34*LOG(C34,2)</f>
        <v>0.2917249513</v>
      </c>
      <c r="E34" s="3"/>
      <c r="F34" s="3"/>
      <c r="G34" s="12">
        <v>0.0</v>
      </c>
      <c r="H34" s="21">
        <f t="shared" ref="H34:H35" si="11">C11+C13</f>
        <v>256543</v>
      </c>
      <c r="I34" s="15">
        <f t="shared" ref="I34:I35" si="12">H34/$C$15</f>
        <v>0.7872242492</v>
      </c>
      <c r="J34" s="27">
        <f t="shared" ref="J34:J35" si="13">-I34*LOG(I34,2)</f>
        <v>0.2717131526</v>
      </c>
      <c r="K34" s="3"/>
      <c r="L34" s="3" t="s">
        <v>0</v>
      </c>
      <c r="M34" s="3" t="s">
        <v>2</v>
      </c>
      <c r="N34" s="3" t="s">
        <v>14</v>
      </c>
      <c r="O34" s="3" t="s">
        <v>15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2">
        <v>1.0</v>
      </c>
      <c r="B35" s="21">
        <f>C15-B34</f>
        <v>75376</v>
      </c>
      <c r="C35" s="15">
        <f t="shared" si="9"/>
        <v>0.2312977357</v>
      </c>
      <c r="D35" s="27">
        <f t="shared" si="10"/>
        <v>0.4885417464</v>
      </c>
      <c r="E35" s="3"/>
      <c r="F35" s="3"/>
      <c r="G35" s="12">
        <v>1.0</v>
      </c>
      <c r="H35" s="21">
        <f t="shared" si="11"/>
        <v>69340</v>
      </c>
      <c r="I35" s="15">
        <f t="shared" si="12"/>
        <v>0.2127757508</v>
      </c>
      <c r="J35" s="27">
        <f t="shared" si="13"/>
        <v>0.4750419397</v>
      </c>
      <c r="K35" s="3"/>
      <c r="L35" s="12">
        <v>0.0</v>
      </c>
      <c r="M35" s="12">
        <v>0.0</v>
      </c>
      <c r="N35" s="28">
        <f>C34*I34*$C$15</f>
        <v>197205.185</v>
      </c>
      <c r="O35" s="15">
        <f t="shared" ref="O35:O38" si="14">N35/$C$15</f>
        <v>0.6051410629</v>
      </c>
      <c r="P35" s="15">
        <f t="shared" ref="P35:P38" si="15">O35*G11</f>
        <v>0.6051410629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 t="s">
        <v>37</v>
      </c>
      <c r="B36" s="29"/>
      <c r="C36" s="15">
        <f>MAX(C34,C35)</f>
        <v>0.7687022643</v>
      </c>
      <c r="D36" s="3"/>
      <c r="E36" s="3"/>
      <c r="F36" s="3"/>
      <c r="G36" s="3" t="s">
        <v>37</v>
      </c>
      <c r="H36" s="29"/>
      <c r="I36" s="15">
        <f>MAX(I34,I35)</f>
        <v>0.7872242492</v>
      </c>
      <c r="J36" s="3"/>
      <c r="K36" s="3"/>
      <c r="L36" s="12">
        <v>0.0</v>
      </c>
      <c r="M36" s="12">
        <v>1.0</v>
      </c>
      <c r="N36" s="28">
        <f>C34*I35*$C$15</f>
        <v>53301.81501</v>
      </c>
      <c r="O36" s="15">
        <f t="shared" si="14"/>
        <v>0.1635612014</v>
      </c>
      <c r="P36" s="15">
        <f t="shared" si="15"/>
        <v>0.1635612014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 t="s">
        <v>38</v>
      </c>
      <c r="B37" s="29"/>
      <c r="C37" s="30">
        <f>C36*(1-C36)</f>
        <v>0.1777990932</v>
      </c>
      <c r="D37" s="3"/>
      <c r="E37" s="3"/>
      <c r="F37" s="3"/>
      <c r="G37" s="3" t="s">
        <v>38</v>
      </c>
      <c r="H37" s="29"/>
      <c r="I37" s="30">
        <f>I36*(1-I36)</f>
        <v>0.1675022307</v>
      </c>
      <c r="J37" s="3"/>
      <c r="K37" s="3"/>
      <c r="L37" s="12">
        <v>1.0</v>
      </c>
      <c r="M37" s="12">
        <v>0.0</v>
      </c>
      <c r="N37" s="28">
        <f>C35*I34*$C$15</f>
        <v>59337.81501</v>
      </c>
      <c r="O37" s="15">
        <f t="shared" si="14"/>
        <v>0.1820831863</v>
      </c>
      <c r="P37" s="15">
        <f t="shared" si="15"/>
        <v>0.1820831863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 t="s">
        <v>39</v>
      </c>
      <c r="B38" s="21">
        <f>SUM(B34:B35)</f>
        <v>325883</v>
      </c>
      <c r="C38" s="3"/>
      <c r="D38" s="3"/>
      <c r="E38" s="3"/>
      <c r="F38" s="3"/>
      <c r="G38" s="3" t="s">
        <v>40</v>
      </c>
      <c r="H38" s="21">
        <f>SUM(H34:H35)</f>
        <v>325883</v>
      </c>
      <c r="I38" s="3"/>
      <c r="J38" s="3"/>
      <c r="K38" s="3"/>
      <c r="L38" s="12">
        <v>1.0</v>
      </c>
      <c r="M38" s="12">
        <v>1.0</v>
      </c>
      <c r="N38" s="28">
        <f>C35*I35*$C$15</f>
        <v>16038.18499</v>
      </c>
      <c r="O38" s="15">
        <f t="shared" si="14"/>
        <v>0.04921454937</v>
      </c>
      <c r="P38" s="15">
        <f t="shared" si="15"/>
        <v>0.04921454937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 t="s">
        <v>41</v>
      </c>
      <c r="B39" s="27">
        <f>SUM(D34:D35)</f>
        <v>0.7802666977</v>
      </c>
      <c r="C39" s="3"/>
      <c r="D39" s="3"/>
      <c r="E39" s="3"/>
      <c r="F39" s="3"/>
      <c r="G39" s="3" t="s">
        <v>41</v>
      </c>
      <c r="H39" s="27">
        <f>SUM(J34:J35)</f>
        <v>0.7467550923</v>
      </c>
      <c r="I39" s="3"/>
      <c r="J39" s="3"/>
      <c r="K39" s="3"/>
      <c r="L39" s="3"/>
      <c r="M39" s="3"/>
      <c r="N39" s="28">
        <f>SUM(N35:N38)</f>
        <v>325883</v>
      </c>
      <c r="O39" s="3"/>
      <c r="P39" s="31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 t="s">
        <v>42</v>
      </c>
      <c r="B41" s="12">
        <f>SUM(F11:F14)</f>
        <v>0.0009495509929</v>
      </c>
      <c r="C41" s="3"/>
      <c r="D41" s="3"/>
      <c r="E41" s="3"/>
      <c r="F41" s="3"/>
      <c r="G41" s="3"/>
      <c r="H41" s="3"/>
      <c r="I41" s="3"/>
      <c r="J41" s="3"/>
      <c r="K41" s="3"/>
      <c r="L41" s="9" t="s">
        <v>43</v>
      </c>
      <c r="M41" s="3"/>
      <c r="N41" s="15">
        <f>N38/(N38+N36)</f>
        <v>0.2312977357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 t="s">
        <v>44</v>
      </c>
      <c r="B42" s="32">
        <f>B41/B39</f>
        <v>0.001216956966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 t="s">
        <v>45</v>
      </c>
      <c r="B43" s="32">
        <f>B41/H39</f>
        <v>0.001271569491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 t="s">
        <v>88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 t="s">
        <v>47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 t="s">
        <v>89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 t="s">
        <v>90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 t="s">
        <v>50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 t="s">
        <v>51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 t="s">
        <v>91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 t="s">
        <v>53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 t="s">
        <v>54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 t="s">
        <v>55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 t="s">
        <v>56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 t="s">
        <v>57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 t="s">
        <v>58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 t="s">
        <v>60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 t="s">
        <v>61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 t="s">
        <v>62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 t="s">
        <v>64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 t="s">
        <v>65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 t="s">
        <v>66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 t="s">
        <v>68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 t="s">
        <v>69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 t="s">
        <v>70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 t="s">
        <v>92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 t="s">
        <v>73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 t="s">
        <v>70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 t="s">
        <v>92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3"/>
      <c r="B76" s="33"/>
      <c r="C76" s="33"/>
      <c r="D76" s="33"/>
      <c r="E76" s="3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5"/>
      <c r="B77" s="36"/>
      <c r="C77" s="37"/>
      <c r="D77" s="37"/>
      <c r="E77" s="38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5"/>
      <c r="B78" s="36"/>
      <c r="C78" s="37"/>
      <c r="D78" s="3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