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3"/>
    <sheet state="visible" name="clean" sheetId="2" r:id="rId4"/>
  </sheets>
  <definedNames/>
  <calcPr/>
</workbook>
</file>

<file path=xl/sharedStrings.xml><?xml version="1.0" encoding="utf-8"?>
<sst xmlns="http://schemas.openxmlformats.org/spreadsheetml/2006/main" count="244" uniqueCount="79">
  <si>
    <t>Concept</t>
  </si>
  <si>
    <t>improved_ccp</t>
  </si>
  <si>
    <t>Classifier</t>
  </si>
  <si>
    <t>improved_productivity</t>
  </si>
  <si>
    <t>Dataset</t>
  </si>
  <si>
    <t>refactor_stats</t>
  </si>
  <si>
    <t>Description</t>
  </si>
  <si>
    <t>productivity_refactor_analysis</t>
  </si>
  <si>
    <t>Model file</t>
  </si>
  <si>
    <t>Date</t>
  </si>
  <si>
    <t>May 4th, 2019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</si>
  <si>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</si>
  <si>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</si>
  <si>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</si>
  <si>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</si>
  <si>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</si>
  <si>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</si>
  <si>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</si>
  <si>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</si>
  <si>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</si>
  <si>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</si>
  <si>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</si>
  <si>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</si>
  <si>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</si>
  <si>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</si>
  <si>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</si>
  <si>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</si>
  <si>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</si>
  <si>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</si>
  <si>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</si>
  <si>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</si>
  <si>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</si>
  <si>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</si>
  <si>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</si>
  <si>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</si>
  <si>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</si>
  <si>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</si>
  <si>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</si>
  <si>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</si>
  <si>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</si>
  <si>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</si>
  <si>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</si>
  <si>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</si>
  <si>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</si>
  <si>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</si>
  <si>
    <t># productivity/ccp cm on clean</t>
  </si>
  <si>
    <t># productivity/ccp cm on scope</t>
  </si>
  <si>
    <t>Select</t>
  </si>
  <si>
    <t>Bug_ratio_after_3_months &lt; bug_ratio_before_3_months as improved_ccp</t>
  </si>
  <si>
    <t>,commits_after_3_months &gt; commits_before_3_months  as improved_productivity</t>
  </si>
  <si>
    <t>, count(*) as cases</t>
  </si>
  <si>
    <t>from</t>
  </si>
  <si>
    <t>[citric-trees-187317:repo_attributes.refactor_stats_2018]  as s</t>
  </si>
  <si>
    <t>join</t>
  </si>
  <si>
    <t>[citric-trees-187317:repo_attributes.refactor_stats_2018_commit_size]  as cs</t>
  </si>
  <si>
    <t>#join rule</t>
  </si>
  <si>
    <t>on</t>
  </si>
  <si>
    <t>s.refactor_repo_name  = cs.refactor_repo_name</t>
  </si>
  <si>
    <t>and</t>
  </si>
  <si>
    <t>s.refactor_commit = cs.refactor_commit</t>
  </si>
  <si>
    <t>Where</t>
  </si>
  <si>
    <t>(not refactor_file_test)</t>
  </si>
  <si>
    <t>and major_source_extension</t>
  </si>
  <si>
    <t>and (commits_before_3_months &gt; 0)</t>
  </si>
  <si>
    <t>and (commits_after_3_months &gt; 0)</t>
  </si>
  <si>
    <t>and (refactor_before_3_months =0)</t>
  </si>
  <si>
    <t>and (cs.non_test_files &gt; 6)</t>
  </si>
  <si>
    <t>and (refactor_after_3_months =0)</t>
  </si>
  <si>
    <t>Group by</t>
  </si>
  <si>
    <t>and (cs.non_test_files =1)</t>
  </si>
  <si>
    <t>Improved_ccp</t>
  </si>
  <si>
    <t>, improved_productivity</t>
  </si>
  <si>
    <t>Order by</t>
  </si>
  <si>
    <t>ow</t>
  </si>
  <si>
    <t>avg_productivity_diff</t>
  </si>
  <si>
    <t>cases</t>
  </si>
  <si>
    <t># productivity/ccp diff  on clean</t>
  </si>
  <si>
    <t># productivity/ccp diff  on scope</t>
  </si>
  <si>
    <t>, avg(commits_after_3_months &gt; commits_before_3_months)  as avg_productivity_diff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</si>
</sst>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(* #,##0_);_(* \(#,##0\);_(* &quot;-&quot;??_);_(@_)"/>
  </numFmts>
  <fonts count="7">
    <font>
      <sz val="10.0"/>
      <color rgb="FF000000"/>
      <name val="Arial"/>
    </font>
    <font>
      <sz val="11.0"/>
      <color rgb="FF000000"/>
      <name val="Arial"/>
    </font>
    <font>
      <name val="Arial"/>
    </font>
    <font>
      <color rgb="FF000000"/>
      <name val="Arial"/>
    </font>
    <font>
      <color rgb="FF000000"/>
      <name val="Roboto"/>
    </font>
    <font>
      <sz val="11.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/>
    <border>
      <right/>
    </border>
    <border>
      <bottom/>
    </border>
    <border>
      <left/>
      <top/>
    </border>
    <border>
      <left/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2" fontId="4" numFmtId="0" xfId="0" applyAlignment="1" applyBorder="1" applyFill="1" applyFont="1">
      <alignment horizontal="right" vertical="bottom"/>
    </xf>
    <xf borderId="3" fillId="2" fontId="4" numFmtId="0" xfId="0" applyAlignment="1" applyBorder="1" applyFont="1">
      <alignment horizontal="right" readingOrder="0" vertical="bottom"/>
    </xf>
    <xf borderId="0" fillId="0" fontId="2" numFmtId="164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4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5" fillId="2" fontId="4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vertical="bottom"/>
    </xf>
    <xf borderId="0" fillId="0" fontId="1" numFmtId="10" xfId="0" applyAlignment="1" applyFont="1" applyNumberFormat="1">
      <alignment horizontal="center" vertical="bottom"/>
    </xf>
    <xf borderId="7" fillId="3" fontId="6" numFmtId="0" xfId="0" applyAlignment="1" applyBorder="1" applyFill="1" applyFont="1">
      <alignment horizontal="center" readingOrder="0" shrinkToFit="0" wrapText="0"/>
    </xf>
    <xf borderId="7" fillId="3" fontId="6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horizontal="right" readingOrder="0" shrinkToFit="0" wrapText="0"/>
    </xf>
    <xf borderId="8" fillId="0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3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14">
        <v>105554.0</v>
      </c>
      <c r="D11" s="16">
        <f t="shared" ref="D11:D14" si="1">C11/$C$15</f>
        <v>0.3239015229</v>
      </c>
      <c r="E11" s="16">
        <f t="shared" ref="E11:E12" si="2">C11/($C$11+$C$12)</f>
        <v>0.5284278927</v>
      </c>
      <c r="F11" s="12">
        <f t="shared" ref="F11:F14" si="3">IF(ISERR(D11*LOG(D11/O35,2)),0,D11*LOG(D11/O35,2))</f>
        <v>-0.0389732896</v>
      </c>
      <c r="G11" s="12">
        <v>1.0</v>
      </c>
      <c r="H11" s="12">
        <f t="shared" ref="H11:H14" si="4">G11*F11</f>
        <v>-0.0389732896</v>
      </c>
      <c r="I11" s="3"/>
      <c r="J11" s="12">
        <v>0.0</v>
      </c>
      <c r="K11" s="12">
        <v>0.0</v>
      </c>
      <c r="L11" s="17">
        <f>C11</f>
        <v>105554</v>
      </c>
      <c r="M11" s="16">
        <f t="shared" ref="M11:M14" si="5">L11/$L$15</f>
        <v>0.3239015229</v>
      </c>
      <c r="N11" s="16">
        <f t="shared" ref="N11:N12" si="6">L11/($L$12+$L$11)</f>
        <v>0.5639050346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19">
        <v>94197.0</v>
      </c>
      <c r="D12" s="16">
        <f t="shared" si="1"/>
        <v>0.2890515921</v>
      </c>
      <c r="E12" s="16">
        <f t="shared" si="2"/>
        <v>0.4715721073</v>
      </c>
      <c r="F12" s="12">
        <f t="shared" si="3"/>
        <v>0.04276431627</v>
      </c>
      <c r="G12" s="12">
        <v>1.0</v>
      </c>
      <c r="H12" s="12">
        <f t="shared" si="4"/>
        <v>0.04276431627</v>
      </c>
      <c r="I12" s="3"/>
      <c r="J12" s="12">
        <v>0.0</v>
      </c>
      <c r="K12" s="12">
        <v>1.0</v>
      </c>
      <c r="L12" s="17">
        <f>C13</f>
        <v>81630</v>
      </c>
      <c r="M12" s="16">
        <f t="shared" si="5"/>
        <v>0.2504886723</v>
      </c>
      <c r="N12" s="16">
        <f t="shared" si="6"/>
        <v>0.4360949654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20">
        <v>81630.0</v>
      </c>
      <c r="D13" s="16">
        <f t="shared" si="1"/>
        <v>0.2504886723</v>
      </c>
      <c r="E13" s="16">
        <f t="shared" ref="E13:E14" si="7">C13/($C$13+$C$14)</f>
        <v>0.6471791457</v>
      </c>
      <c r="F13" s="12">
        <f t="shared" si="3"/>
        <v>0.04311761639</v>
      </c>
      <c r="G13" s="12">
        <v>1.0</v>
      </c>
      <c r="H13" s="12">
        <f t="shared" si="4"/>
        <v>0.04311761639</v>
      </c>
      <c r="I13" s="3"/>
      <c r="J13" s="12">
        <v>1.0</v>
      </c>
      <c r="K13" s="12">
        <v>0.0</v>
      </c>
      <c r="L13" s="17">
        <f>C12</f>
        <v>94197</v>
      </c>
      <c r="M13" s="16">
        <f t="shared" si="5"/>
        <v>0.2890515921</v>
      </c>
      <c r="N13" s="16">
        <f t="shared" ref="N13:N14" si="8">L13/($L$14+$L$13)</f>
        <v>0.6791469297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22">
        <v>44502.0</v>
      </c>
      <c r="D14" s="16">
        <f t="shared" si="1"/>
        <v>0.1365582126</v>
      </c>
      <c r="E14" s="16">
        <f t="shared" si="7"/>
        <v>0.3528208543</v>
      </c>
      <c r="F14" s="12">
        <f t="shared" si="3"/>
        <v>-0.03695204452</v>
      </c>
      <c r="G14" s="12">
        <v>1.0</v>
      </c>
      <c r="H14" s="12">
        <f t="shared" si="4"/>
        <v>-0.03695204452</v>
      </c>
      <c r="I14" s="3"/>
      <c r="J14" s="12">
        <v>1.0</v>
      </c>
      <c r="K14" s="12">
        <v>1.0</v>
      </c>
      <c r="L14" s="17">
        <f>C14</f>
        <v>44502</v>
      </c>
      <c r="M14" s="16">
        <f t="shared" si="5"/>
        <v>0.1365582126</v>
      </c>
      <c r="N14" s="16">
        <f t="shared" si="8"/>
        <v>0.3208530703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4">
        <f>SUM(C11:C14)</f>
        <v>325883</v>
      </c>
      <c r="D15" s="3"/>
      <c r="E15" s="3"/>
      <c r="F15" s="3"/>
      <c r="G15" s="3" t="s">
        <v>19</v>
      </c>
      <c r="H15" s="12">
        <f>SUM(H11:H14)</f>
        <v>0.009956598546</v>
      </c>
      <c r="I15" s="3"/>
      <c r="J15" s="3"/>
      <c r="K15" s="3"/>
      <c r="L15" s="24">
        <f>SUM(L11:L14)</f>
        <v>325883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21</v>
      </c>
      <c r="B17" s="3"/>
      <c r="C17" s="16">
        <f>(C11+C14)/C15</f>
        <v>0.4604597355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22</v>
      </c>
      <c r="B18" s="3"/>
      <c r="C18" s="16">
        <f>(C17/C36)-1</f>
        <v>-0.248784737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23</v>
      </c>
      <c r="B19" s="3"/>
      <c r="C19" s="16">
        <f>(C17/(C36*C36))-1</f>
        <v>0.225567249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24</v>
      </c>
      <c r="B20" s="3"/>
      <c r="C20" s="16">
        <f>C17-(1.96*C37/SQRT(C15))</f>
        <v>0.4596451887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25</v>
      </c>
      <c r="B21" s="3"/>
      <c r="C21" s="16">
        <f>C20*0.95</f>
        <v>0.4366629293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26</v>
      </c>
      <c r="B24" s="3"/>
      <c r="C24" s="16">
        <f>C14/(C14+C13)</f>
        <v>0.3528208543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"/>
      <c r="C25" s="16">
        <f>C14/(C14+C12)</f>
        <v>0.3208530703</v>
      </c>
      <c r="D25" s="3" t="s">
        <v>28</v>
      </c>
      <c r="E25" s="25">
        <f>(C25/C35)-1</f>
        <v>-0.1710227292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29</v>
      </c>
      <c r="B26" s="3"/>
      <c r="C26" s="16">
        <f>C12/(C12+C11)</f>
        <v>0.4715721073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30</v>
      </c>
      <c r="B27" s="3"/>
      <c r="C27" s="16">
        <f>C14/(C14+C13+C12)</f>
        <v>0.2019797666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31</v>
      </c>
      <c r="B28" s="3"/>
      <c r="C28" s="26">
        <f>C11/(C11+C12)</f>
        <v>0.5284278927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32</v>
      </c>
      <c r="B30" s="3"/>
      <c r="C30" s="3"/>
      <c r="D30" s="3"/>
      <c r="E30" s="3"/>
      <c r="F30" s="3"/>
      <c r="G30" s="8" t="s">
        <v>33</v>
      </c>
      <c r="H30" s="3"/>
      <c r="I30" s="3"/>
      <c r="J30" s="3"/>
      <c r="K30" s="3"/>
      <c r="L30" s="9" t="s">
        <v>34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35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4">
        <f>C11+C12</f>
        <v>199751</v>
      </c>
      <c r="C34" s="16">
        <f t="shared" ref="C34:C35" si="9">B34/$C$15</f>
        <v>0.6129531151</v>
      </c>
      <c r="D34" s="27">
        <f t="shared" ref="D34:D35" si="10">-C34*LOG(C34,2)</f>
        <v>0.4328376812</v>
      </c>
      <c r="E34" s="3"/>
      <c r="F34" s="3"/>
      <c r="G34" s="12">
        <v>0.0</v>
      </c>
      <c r="H34" s="24">
        <f t="shared" ref="H34:H35" si="11">C11+C13</f>
        <v>187184</v>
      </c>
      <c r="I34" s="16">
        <f t="shared" ref="I34:I35" si="12">H34/$C$15</f>
        <v>0.5743901953</v>
      </c>
      <c r="J34" s="27">
        <f t="shared" ref="J34:J35" si="13">-I34*LOG(I34,2)</f>
        <v>0.459452978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4">
        <f>C15-B34</f>
        <v>126132</v>
      </c>
      <c r="C35" s="16">
        <f t="shared" si="9"/>
        <v>0.3870468849</v>
      </c>
      <c r="D35" s="27">
        <f t="shared" si="10"/>
        <v>0.5300296511</v>
      </c>
      <c r="E35" s="3"/>
      <c r="F35" s="3"/>
      <c r="G35" s="12">
        <v>1.0</v>
      </c>
      <c r="H35" s="24">
        <f t="shared" si="11"/>
        <v>138699</v>
      </c>
      <c r="I35" s="16">
        <f t="shared" si="12"/>
        <v>0.4256098047</v>
      </c>
      <c r="J35" s="27">
        <f t="shared" si="13"/>
        <v>0.5245201224</v>
      </c>
      <c r="K35" s="3"/>
      <c r="L35" s="12">
        <v>0.0</v>
      </c>
      <c r="M35" s="12">
        <v>0.0</v>
      </c>
      <c r="N35" s="28">
        <f>C34*I34*$C$15</f>
        <v>114735.0159</v>
      </c>
      <c r="O35" s="16">
        <f t="shared" ref="O35:O38" si="14">N35/$C$15</f>
        <v>0.3520742594</v>
      </c>
      <c r="P35" s="16">
        <f t="shared" ref="P35:P38" si="15">O35*G11</f>
        <v>0.3520742594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36</v>
      </c>
      <c r="B36" s="29"/>
      <c r="C36" s="16">
        <f>MAX(C34,C35)</f>
        <v>0.6129531151</v>
      </c>
      <c r="D36" s="3"/>
      <c r="E36" s="3"/>
      <c r="F36" s="3"/>
      <c r="G36" s="3" t="s">
        <v>36</v>
      </c>
      <c r="H36" s="29"/>
      <c r="I36" s="16">
        <f>MAX(I34,I35)</f>
        <v>0.5743901953</v>
      </c>
      <c r="J36" s="3"/>
      <c r="K36" s="3"/>
      <c r="L36" s="12">
        <v>0.0</v>
      </c>
      <c r="M36" s="12">
        <v>1.0</v>
      </c>
      <c r="N36" s="28">
        <f>C34*I35*$C$15</f>
        <v>85015.98411</v>
      </c>
      <c r="O36" s="16">
        <f t="shared" si="14"/>
        <v>0.2608788556</v>
      </c>
      <c r="P36" s="16">
        <f t="shared" si="15"/>
        <v>0.2608788556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37</v>
      </c>
      <c r="B37" s="29"/>
      <c r="C37" s="30">
        <f>C36*(1-C36)</f>
        <v>0.2372415938</v>
      </c>
      <c r="D37" s="3"/>
      <c r="E37" s="3"/>
      <c r="F37" s="3"/>
      <c r="G37" s="3" t="s">
        <v>37</v>
      </c>
      <c r="H37" s="29"/>
      <c r="I37" s="30">
        <f>I36*(1-I36)</f>
        <v>0.2444660989</v>
      </c>
      <c r="J37" s="3"/>
      <c r="K37" s="3"/>
      <c r="L37" s="12">
        <v>1.0</v>
      </c>
      <c r="M37" s="12">
        <v>0.0</v>
      </c>
      <c r="N37" s="28">
        <f>C35*I34*$C$15</f>
        <v>72448.98411</v>
      </c>
      <c r="O37" s="16">
        <f t="shared" si="14"/>
        <v>0.2223159358</v>
      </c>
      <c r="P37" s="16">
        <f t="shared" si="15"/>
        <v>0.2223159358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38</v>
      </c>
      <c r="B38" s="24">
        <f>SUM(B34:B35)</f>
        <v>325883</v>
      </c>
      <c r="C38" s="3"/>
      <c r="D38" s="3"/>
      <c r="E38" s="3"/>
      <c r="F38" s="3"/>
      <c r="G38" s="3" t="s">
        <v>39</v>
      </c>
      <c r="H38" s="24">
        <f>SUM(H34:H35)</f>
        <v>325883</v>
      </c>
      <c r="I38" s="3"/>
      <c r="J38" s="3"/>
      <c r="K38" s="3"/>
      <c r="L38" s="12">
        <v>1.0</v>
      </c>
      <c r="M38" s="12">
        <v>1.0</v>
      </c>
      <c r="N38" s="28">
        <f>C35*I35*$C$15</f>
        <v>53683.01589</v>
      </c>
      <c r="O38" s="16">
        <f t="shared" si="14"/>
        <v>0.1647309491</v>
      </c>
      <c r="P38" s="16">
        <f t="shared" si="15"/>
        <v>0.1647309491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40</v>
      </c>
      <c r="B39" s="27">
        <f>SUM(D34:D35)</f>
        <v>0.9628673324</v>
      </c>
      <c r="C39" s="3"/>
      <c r="D39" s="3"/>
      <c r="E39" s="3"/>
      <c r="F39" s="3"/>
      <c r="G39" s="3" t="s">
        <v>40</v>
      </c>
      <c r="H39" s="27">
        <f>SUM(J34:J35)</f>
        <v>0.9839731004</v>
      </c>
      <c r="I39" s="3"/>
      <c r="J39" s="3"/>
      <c r="K39" s="3"/>
      <c r="L39" s="3"/>
      <c r="M39" s="3"/>
      <c r="N39" s="28">
        <f>SUM(N35:N38)</f>
        <v>325883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41</v>
      </c>
      <c r="B41" s="12">
        <f>SUM(F11:F14)</f>
        <v>0.009956598546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42</v>
      </c>
      <c r="M41" s="3"/>
      <c r="N41" s="16">
        <f>N38/(N38+N36)</f>
        <v>0.3870468849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43</v>
      </c>
      <c r="B42" s="32">
        <f>B41/B39</f>
        <v>0.01034057155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44</v>
      </c>
      <c r="B43" s="32">
        <f>B41/H39</f>
        <v>0.01011877107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60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61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62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63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64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66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68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71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70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3" t="s">
        <v>73</v>
      </c>
      <c r="B75" s="33" t="s">
        <v>1</v>
      </c>
      <c r="C75" s="33" t="s">
        <v>74</v>
      </c>
      <c r="D75" s="33" t="s">
        <v>75</v>
      </c>
      <c r="E75" s="3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5">
        <v>1.0</v>
      </c>
      <c r="B76" s="36" t="b">
        <v>0</v>
      </c>
      <c r="C76" s="37">
        <v>0.471572107273555</v>
      </c>
      <c r="D76" s="37">
        <v>199751.0</v>
      </c>
      <c r="E76" s="3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>
        <v>2.0</v>
      </c>
      <c r="B77" s="36" t="b">
        <v>1</v>
      </c>
      <c r="C77" s="37">
        <v>0.352820854343069</v>
      </c>
      <c r="D77" s="37">
        <v>126132.0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77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47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48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78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50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51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52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53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54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55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56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57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58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59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61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62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63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64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66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68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70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72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70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3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15">
        <v>1719.0</v>
      </c>
      <c r="D11" s="16">
        <f t="shared" ref="D11:D14" si="1">C11/$C$15</f>
        <v>0.3999534667</v>
      </c>
      <c r="E11" s="16">
        <f t="shared" ref="E11:E12" si="2">C11/($C$11+$C$12)</f>
        <v>0.556130702</v>
      </c>
      <c r="F11" s="12">
        <f t="shared" ref="F11:F14" si="3">IF(ISERR(D11*LOG(D11/O35,2)),0,D11*LOG(D11/O35,2))</f>
        <v>-0.03324254489</v>
      </c>
      <c r="G11" s="12">
        <v>1.0</v>
      </c>
      <c r="H11" s="12">
        <f t="shared" ref="H11:H14" si="4">G11*F11</f>
        <v>-0.03324254489</v>
      </c>
      <c r="I11" s="3"/>
      <c r="J11" s="12">
        <v>0.0</v>
      </c>
      <c r="K11" s="12">
        <v>0.0</v>
      </c>
      <c r="L11" s="17">
        <f>C11</f>
        <v>1719</v>
      </c>
      <c r="M11" s="16">
        <f t="shared" ref="M11:M14" si="5">L11/$L$15</f>
        <v>0.3999534667</v>
      </c>
      <c r="N11" s="16">
        <f t="shared" ref="N11:N12" si="6">L11/($L$12+$L$11)</f>
        <v>0.6789099526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18">
        <v>1372.0</v>
      </c>
      <c r="D12" s="16">
        <f t="shared" si="1"/>
        <v>0.319218241</v>
      </c>
      <c r="E12" s="16">
        <f t="shared" si="2"/>
        <v>0.443869298</v>
      </c>
      <c r="F12" s="12">
        <f t="shared" si="3"/>
        <v>0.03555675171</v>
      </c>
      <c r="G12" s="12">
        <v>1.0</v>
      </c>
      <c r="H12" s="12">
        <f t="shared" si="4"/>
        <v>0.03555675171</v>
      </c>
      <c r="I12" s="3"/>
      <c r="J12" s="12">
        <v>0.0</v>
      </c>
      <c r="K12" s="12">
        <v>1.0</v>
      </c>
      <c r="L12" s="17">
        <f>C13</f>
        <v>813</v>
      </c>
      <c r="M12" s="16">
        <f t="shared" si="5"/>
        <v>0.1891577478</v>
      </c>
      <c r="N12" s="16">
        <f t="shared" si="6"/>
        <v>0.3210900474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21">
        <v>813.0</v>
      </c>
      <c r="D13" s="16">
        <f t="shared" si="1"/>
        <v>0.1891577478</v>
      </c>
      <c r="E13" s="16">
        <f t="shared" ref="E13:E14" si="7">C13/($C$13+$C$14)</f>
        <v>0.6735708368</v>
      </c>
      <c r="F13" s="12">
        <f t="shared" si="3"/>
        <v>0.03656223663</v>
      </c>
      <c r="G13" s="12">
        <v>1.0</v>
      </c>
      <c r="H13" s="12">
        <f t="shared" si="4"/>
        <v>0.03656223663</v>
      </c>
      <c r="I13" s="3"/>
      <c r="J13" s="12">
        <v>1.0</v>
      </c>
      <c r="K13" s="12">
        <v>0.0</v>
      </c>
      <c r="L13" s="17">
        <f>C12</f>
        <v>1372</v>
      </c>
      <c r="M13" s="16">
        <f t="shared" si="5"/>
        <v>0.319218241</v>
      </c>
      <c r="N13" s="16">
        <f t="shared" ref="N13:N14" si="8">L13/($L$14+$L$13)</f>
        <v>0.7768969422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23">
        <v>394.0</v>
      </c>
      <c r="D14" s="16">
        <f t="shared" si="1"/>
        <v>0.09167054444</v>
      </c>
      <c r="E14" s="16">
        <f t="shared" si="7"/>
        <v>0.3264291632</v>
      </c>
      <c r="F14" s="12">
        <f t="shared" si="3"/>
        <v>-0.03043260414</v>
      </c>
      <c r="G14" s="12">
        <v>1.0</v>
      </c>
      <c r="H14" s="12">
        <f t="shared" si="4"/>
        <v>-0.03043260414</v>
      </c>
      <c r="I14" s="3"/>
      <c r="J14" s="12">
        <v>1.0</v>
      </c>
      <c r="K14" s="12">
        <v>1.0</v>
      </c>
      <c r="L14" s="17">
        <f>C14</f>
        <v>394</v>
      </c>
      <c r="M14" s="16">
        <f t="shared" si="5"/>
        <v>0.09167054444</v>
      </c>
      <c r="N14" s="16">
        <f t="shared" si="8"/>
        <v>0.2231030578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4">
        <f>SUM(C11:C14)</f>
        <v>4298</v>
      </c>
      <c r="D15" s="3"/>
      <c r="E15" s="3"/>
      <c r="F15" s="3"/>
      <c r="G15" s="3" t="s">
        <v>19</v>
      </c>
      <c r="H15" s="12">
        <f>SUM(H11:H14)</f>
        <v>0.008443839306</v>
      </c>
      <c r="I15" s="3"/>
      <c r="J15" s="3"/>
      <c r="K15" s="3"/>
      <c r="L15" s="24">
        <f>SUM(L11:L14)</f>
        <v>4298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21</v>
      </c>
      <c r="B17" s="3"/>
      <c r="C17" s="16">
        <f>(C11+C14)/C15</f>
        <v>0.4916240112</v>
      </c>
      <c r="D17" s="3"/>
      <c r="E17" s="3"/>
      <c r="F17" s="3"/>
      <c r="G17" s="3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22</v>
      </c>
      <c r="B18" s="3"/>
      <c r="C18" s="16">
        <f>(C17/C36)-1</f>
        <v>-0.3164024588</v>
      </c>
      <c r="D18" s="3"/>
      <c r="E18" s="3"/>
      <c r="F18" s="3"/>
      <c r="G18" s="3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23</v>
      </c>
      <c r="B19" s="3"/>
      <c r="C19" s="16">
        <f>(C17/(C36*C36))-1</f>
        <v>-0.04946546998</v>
      </c>
      <c r="D19" s="3"/>
      <c r="E19" s="3"/>
      <c r="F19" s="3"/>
      <c r="G19" s="3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24</v>
      </c>
      <c r="B20" s="3"/>
      <c r="C20" s="16">
        <f>C17-(1.96*C37/SQRT(C15))</f>
        <v>0.4855859665</v>
      </c>
      <c r="D20" s="3"/>
      <c r="E20" s="3"/>
      <c r="F20" s="3"/>
      <c r="G20" s="3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25</v>
      </c>
      <c r="B21" s="3"/>
      <c r="C21" s="16">
        <f>C20*0.95</f>
        <v>0.4613066682</v>
      </c>
      <c r="D21" s="3"/>
      <c r="E21" s="3"/>
      <c r="F21" s="3"/>
      <c r="G21" s="3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26</v>
      </c>
      <c r="B24" s="3"/>
      <c r="C24" s="16">
        <f>C14/(C14+C13)</f>
        <v>0.3264291632</v>
      </c>
      <c r="D24" s="3"/>
      <c r="E24" s="3"/>
      <c r="F24" s="3"/>
      <c r="G24" s="3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"/>
      <c r="C25" s="16">
        <f>C14/(C14+C12)</f>
        <v>0.2231030578</v>
      </c>
      <c r="D25" s="3" t="s">
        <v>28</v>
      </c>
      <c r="E25" s="25">
        <f>(C25/C35)-1</f>
        <v>-0.2055534861</v>
      </c>
      <c r="F25" s="3"/>
      <c r="G25" s="3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29</v>
      </c>
      <c r="B26" s="3"/>
      <c r="C26" s="16">
        <f>C12/(C12+C11)</f>
        <v>0.443869298</v>
      </c>
      <c r="D26" s="3"/>
      <c r="E26" s="3"/>
      <c r="F26" s="3"/>
      <c r="G26" s="3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30</v>
      </c>
      <c r="B27" s="3"/>
      <c r="C27" s="16">
        <f>C14/(C14+C13+C12)</f>
        <v>0.1527723924</v>
      </c>
      <c r="D27" s="3"/>
      <c r="E27" s="3"/>
      <c r="F27" s="3"/>
      <c r="G27" s="3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31</v>
      </c>
      <c r="B28" s="3"/>
      <c r="C28" s="26">
        <f>C11/(C11+C12)</f>
        <v>0.556130702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32</v>
      </c>
      <c r="B30" s="3"/>
      <c r="C30" s="3"/>
      <c r="D30" s="3"/>
      <c r="E30" s="3"/>
      <c r="F30" s="3"/>
      <c r="G30" s="8" t="s">
        <v>33</v>
      </c>
      <c r="H30" s="3"/>
      <c r="I30" s="3"/>
      <c r="J30" s="3"/>
      <c r="K30" s="3"/>
      <c r="L30" s="9" t="s">
        <v>34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35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4">
        <f>C11+C12</f>
        <v>3091</v>
      </c>
      <c r="C34" s="16">
        <f t="shared" ref="C34:C35" si="9">B34/$C$15</f>
        <v>0.7191717078</v>
      </c>
      <c r="D34" s="27">
        <f t="shared" ref="D34:D35" si="10">-C34*LOG(C34,2)</f>
        <v>0.3420321876</v>
      </c>
      <c r="E34" s="3"/>
      <c r="F34" s="3"/>
      <c r="G34" s="12">
        <v>0.0</v>
      </c>
      <c r="H34" s="24">
        <f t="shared" ref="H34:H35" si="11">C11+C13</f>
        <v>2532</v>
      </c>
      <c r="I34" s="16">
        <f t="shared" ref="I34:I35" si="12">H34/$C$15</f>
        <v>0.5891112145</v>
      </c>
      <c r="J34" s="27">
        <f t="shared" ref="J34:J35" si="13">-I34*LOG(I34,2)</f>
        <v>0.4497204778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4">
        <f>C15-B34</f>
        <v>1207</v>
      </c>
      <c r="C35" s="16">
        <f t="shared" si="9"/>
        <v>0.2808282922</v>
      </c>
      <c r="D35" s="27">
        <f t="shared" si="10"/>
        <v>0.5145447759</v>
      </c>
      <c r="E35" s="3"/>
      <c r="F35" s="3"/>
      <c r="G35" s="12">
        <v>1.0</v>
      </c>
      <c r="H35" s="24">
        <f t="shared" si="11"/>
        <v>1766</v>
      </c>
      <c r="I35" s="16">
        <f t="shared" si="12"/>
        <v>0.4108887855</v>
      </c>
      <c r="J35" s="27">
        <f t="shared" si="13"/>
        <v>0.5272443292</v>
      </c>
      <c r="K35" s="3"/>
      <c r="L35" s="12">
        <v>0.0</v>
      </c>
      <c r="M35" s="12">
        <v>0.0</v>
      </c>
      <c r="N35" s="28">
        <f>C34*I34*$C$15</f>
        <v>1820.942764</v>
      </c>
      <c r="O35" s="16">
        <f t="shared" ref="O35:O38" si="14">N35/$C$15</f>
        <v>0.4236721182</v>
      </c>
      <c r="P35" s="16">
        <f t="shared" ref="P35:P38" si="15">O35*G11</f>
        <v>0.4236721182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36</v>
      </c>
      <c r="B36" s="29"/>
      <c r="C36" s="16">
        <f>MAX(C34,C35)</f>
        <v>0.7191717078</v>
      </c>
      <c r="D36" s="3"/>
      <c r="E36" s="3"/>
      <c r="F36" s="3"/>
      <c r="G36" s="3" t="s">
        <v>36</v>
      </c>
      <c r="H36" s="29"/>
      <c r="I36" s="16">
        <f>MAX(I34,I35)</f>
        <v>0.5891112145</v>
      </c>
      <c r="J36" s="3"/>
      <c r="K36" s="3"/>
      <c r="L36" s="12">
        <v>0.0</v>
      </c>
      <c r="M36" s="12">
        <v>1.0</v>
      </c>
      <c r="N36" s="28">
        <f>C34*I35*$C$15</f>
        <v>1270.057236</v>
      </c>
      <c r="O36" s="16">
        <f t="shared" si="14"/>
        <v>0.2954995896</v>
      </c>
      <c r="P36" s="16">
        <f t="shared" si="15"/>
        <v>0.2954995896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37</v>
      </c>
      <c r="B37" s="29"/>
      <c r="C37" s="30">
        <f>C36*(1-C36)</f>
        <v>0.2019637625</v>
      </c>
      <c r="D37" s="3"/>
      <c r="E37" s="3"/>
      <c r="F37" s="3"/>
      <c r="G37" s="3" t="s">
        <v>37</v>
      </c>
      <c r="H37" s="29"/>
      <c r="I37" s="30">
        <f>I36*(1-I36)</f>
        <v>0.2420591914</v>
      </c>
      <c r="J37" s="3"/>
      <c r="K37" s="3"/>
      <c r="L37" s="12">
        <v>1.0</v>
      </c>
      <c r="M37" s="12">
        <v>0.0</v>
      </c>
      <c r="N37" s="28">
        <f>C35*I34*$C$15</f>
        <v>711.0572359</v>
      </c>
      <c r="O37" s="16">
        <f t="shared" si="14"/>
        <v>0.1654390963</v>
      </c>
      <c r="P37" s="16">
        <f t="shared" si="15"/>
        <v>0.1654390963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38</v>
      </c>
      <c r="B38" s="24">
        <f>SUM(B34:B35)</f>
        <v>4298</v>
      </c>
      <c r="C38" s="3"/>
      <c r="D38" s="3"/>
      <c r="E38" s="3"/>
      <c r="F38" s="3"/>
      <c r="G38" s="3" t="s">
        <v>39</v>
      </c>
      <c r="H38" s="24">
        <f>SUM(H34:H35)</f>
        <v>4298</v>
      </c>
      <c r="I38" s="3"/>
      <c r="J38" s="3"/>
      <c r="K38" s="3"/>
      <c r="L38" s="12">
        <v>1.0</v>
      </c>
      <c r="M38" s="12">
        <v>1.0</v>
      </c>
      <c r="N38" s="28">
        <f>C35*I35*$C$15</f>
        <v>495.9427641</v>
      </c>
      <c r="O38" s="16">
        <f t="shared" si="14"/>
        <v>0.1153891959</v>
      </c>
      <c r="P38" s="16">
        <f t="shared" si="15"/>
        <v>0.1153891959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40</v>
      </c>
      <c r="B39" s="27">
        <f>SUM(D34:D35)</f>
        <v>0.8565769634</v>
      </c>
      <c r="C39" s="3"/>
      <c r="D39" s="3"/>
      <c r="E39" s="3"/>
      <c r="F39" s="3"/>
      <c r="G39" s="3" t="s">
        <v>40</v>
      </c>
      <c r="H39" s="27">
        <f>SUM(J34:J35)</f>
        <v>0.976964807</v>
      </c>
      <c r="I39" s="3"/>
      <c r="J39" s="3"/>
      <c r="K39" s="3"/>
      <c r="L39" s="3"/>
      <c r="M39" s="3"/>
      <c r="N39" s="28">
        <f>SUM(N35:N38)</f>
        <v>4298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41</v>
      </c>
      <c r="B41" s="12">
        <f>SUM(F11:F14)</f>
        <v>0.008443839306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42</v>
      </c>
      <c r="M41" s="3"/>
      <c r="N41" s="16">
        <f>N38/(N38+N36)</f>
        <v>0.2808282922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43</v>
      </c>
      <c r="B42" s="32">
        <f>B41/B39</f>
        <v>0.009857653972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44</v>
      </c>
      <c r="B43" s="32">
        <f>B41/H39</f>
        <v>0.008642930887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45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49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59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60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61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62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63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64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65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67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69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68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71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72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 t="s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 t="s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3" t="s">
        <v>73</v>
      </c>
      <c r="B76" s="33" t="s">
        <v>1</v>
      </c>
      <c r="C76" s="33" t="s">
        <v>74</v>
      </c>
      <c r="D76" s="33" t="s">
        <v>75</v>
      </c>
      <c r="E76" s="3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>
        <v>1.0</v>
      </c>
      <c r="B77" s="36" t="b">
        <v>0</v>
      </c>
      <c r="C77" s="37">
        <v>0.443869297961824</v>
      </c>
      <c r="D77" s="37">
        <v>3091.0</v>
      </c>
      <c r="E77" s="3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5">
        <v>2.0</v>
      </c>
      <c r="B78" s="36" t="b">
        <v>1</v>
      </c>
      <c r="C78" s="37">
        <v>0.326429163214581</v>
      </c>
      <c r="D78" s="37">
        <v>1207.0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 t="s">
        <v>76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47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48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78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50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51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52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53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54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55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56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57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58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59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60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61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63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64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65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67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69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68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70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72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 t="s">
        <v>70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